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urid\Desktop\"/>
    </mc:Choice>
  </mc:AlternateContent>
  <xr:revisionPtr revIDLastSave="0" documentId="8_{ADEF56F1-8781-45B5-9636-E39112EB4606}" xr6:coauthVersionLast="47" xr6:coauthVersionMax="47" xr10:uidLastSave="{00000000-0000-0000-0000-000000000000}"/>
  <bookViews>
    <workbookView xWindow="760" yWindow="760" windowWidth="14400" windowHeight="7360" activeTab="2" xr2:uid="{00000000-000D-0000-FFFF-FFFF00000000}"/>
  </bookViews>
  <sheets>
    <sheet name="CAPEX" sheetId="5" r:id="rId1"/>
    <sheet name="OPEX" sheetId="1" r:id="rId2"/>
    <sheet name="Оборудование" sheetId="2" r:id="rId3"/>
    <sheet name="Штатное расписание" sheetId="3" r:id="rId4"/>
    <sheet name="Продукция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7" i="1" l="1"/>
  <c r="AB6" i="1"/>
  <c r="AB9" i="1"/>
  <c r="AB12" i="1"/>
  <c r="AB15" i="1"/>
  <c r="AB21" i="1"/>
  <c r="AB4" i="1"/>
  <c r="AA6" i="1"/>
  <c r="AA9" i="1"/>
  <c r="AA12" i="1"/>
  <c r="AA15" i="1"/>
  <c r="AA17" i="1"/>
  <c r="AA21" i="1"/>
  <c r="AA4" i="1"/>
  <c r="Z6" i="1"/>
  <c r="Z9" i="1"/>
  <c r="Z12" i="1"/>
  <c r="Z15" i="1"/>
  <c r="Z17" i="1"/>
  <c r="Z21" i="1"/>
  <c r="Z4" i="1"/>
  <c r="AA32" i="1"/>
  <c r="Z32" i="1"/>
  <c r="Y6" i="1"/>
  <c r="Y9" i="1"/>
  <c r="Y12" i="1"/>
  <c r="Y15" i="1"/>
  <c r="Y17" i="1"/>
  <c r="Y21" i="1"/>
  <c r="Y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D16" i="1"/>
  <c r="Y16" i="1" s="1"/>
  <c r="D8" i="1"/>
  <c r="D5" i="1"/>
  <c r="Y8" i="1" l="1"/>
  <c r="AA16" i="1"/>
  <c r="Z8" i="1"/>
  <c r="AA5" i="1"/>
  <c r="AA8" i="1"/>
  <c r="AB16" i="1"/>
  <c r="Y5" i="1"/>
  <c r="AB5" i="1"/>
  <c r="Z16" i="1"/>
  <c r="AB8" i="1"/>
  <c r="Z5" i="1"/>
  <c r="D4" i="4"/>
  <c r="F72" i="2"/>
  <c r="F73" i="2"/>
  <c r="C21" i="2"/>
  <c r="C12" i="2"/>
  <c r="F7" i="2" l="1"/>
  <c r="F6" i="2"/>
  <c r="F74" i="2"/>
  <c r="F5" i="2"/>
  <c r="D11" i="4" l="1"/>
  <c r="D5" i="4"/>
  <c r="H3" i="4"/>
  <c r="F76" i="2"/>
  <c r="F75" i="2"/>
  <c r="D8" i="4" l="1"/>
  <c r="D9" i="4"/>
  <c r="F32" i="2"/>
  <c r="F10" i="2" l="1"/>
  <c r="F11" i="2"/>
  <c r="AC4" i="1" l="1"/>
  <c r="F8" i="2" l="1"/>
  <c r="F9" i="2"/>
  <c r="F15" i="2"/>
  <c r="F16" i="2"/>
  <c r="F17" i="2"/>
  <c r="F18" i="2"/>
  <c r="F19" i="2"/>
  <c r="F20" i="2"/>
  <c r="F24" i="2"/>
  <c r="F25" i="2"/>
  <c r="F26" i="2"/>
  <c r="F27" i="2"/>
  <c r="F28" i="2"/>
  <c r="F36" i="2"/>
  <c r="F37" i="2"/>
  <c r="F38" i="2"/>
  <c r="F39" i="2"/>
  <c r="F40" i="2"/>
  <c r="F41" i="2"/>
  <c r="F42" i="2"/>
  <c r="F43" i="2"/>
  <c r="F44" i="2"/>
  <c r="F60" i="2" l="1"/>
  <c r="AC36" i="1" l="1"/>
  <c r="F4" i="2" l="1"/>
  <c r="C36" i="1" l="1"/>
  <c r="C16" i="5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3" i="3"/>
  <c r="C29" i="2"/>
  <c r="C45" i="2"/>
  <c r="C53" i="2"/>
  <c r="C77" i="2"/>
  <c r="C69" i="2"/>
  <c r="C61" i="2"/>
  <c r="C64" i="2"/>
  <c r="F71" i="2"/>
  <c r="F67" i="2"/>
  <c r="F68" i="2"/>
  <c r="F66" i="2"/>
  <c r="F63" i="2"/>
  <c r="F64" i="2" s="1"/>
  <c r="F61" i="2"/>
  <c r="F56" i="2"/>
  <c r="F57" i="2"/>
  <c r="F55" i="2"/>
  <c r="F48" i="2"/>
  <c r="F49" i="2"/>
  <c r="F50" i="2"/>
  <c r="F51" i="2"/>
  <c r="F52" i="2"/>
  <c r="F47" i="2"/>
  <c r="F35" i="2"/>
  <c r="C17" i="1"/>
  <c r="F31" i="2"/>
  <c r="F33" i="2" s="1"/>
  <c r="F23" i="2"/>
  <c r="F14" i="2"/>
  <c r="D46" i="3"/>
  <c r="C78" i="2" l="1"/>
  <c r="F46" i="3"/>
  <c r="AC12" i="1"/>
  <c r="AC8" i="1"/>
  <c r="AC17" i="1"/>
  <c r="AC9" i="1"/>
  <c r="AC21" i="1"/>
  <c r="AC5" i="1"/>
  <c r="AC6" i="1"/>
  <c r="AC16" i="1"/>
  <c r="AC15" i="1"/>
  <c r="F69" i="2"/>
  <c r="F21" i="2"/>
  <c r="F12" i="2"/>
  <c r="F77" i="2"/>
  <c r="F58" i="2"/>
  <c r="F53" i="2"/>
  <c r="F45" i="2"/>
  <c r="F29" i="2"/>
  <c r="H7" i="1" l="1"/>
  <c r="P7" i="1"/>
  <c r="I7" i="1"/>
  <c r="Q7" i="1"/>
  <c r="K7" i="1"/>
  <c r="S7" i="1"/>
  <c r="L7" i="1"/>
  <c r="T7" i="1"/>
  <c r="D7" i="1"/>
  <c r="E7" i="1"/>
  <c r="M7" i="1"/>
  <c r="U7" i="1"/>
  <c r="R7" i="1"/>
  <c r="F7" i="1"/>
  <c r="N7" i="1"/>
  <c r="AA7" i="1" s="1"/>
  <c r="V7" i="1"/>
  <c r="J7" i="1"/>
  <c r="G7" i="1"/>
  <c r="O7" i="1"/>
  <c r="W7" i="1"/>
  <c r="F78" i="2"/>
  <c r="AB7" i="1" l="1"/>
  <c r="G13" i="1"/>
  <c r="O13" i="1"/>
  <c r="W13" i="1"/>
  <c r="K11" i="1"/>
  <c r="S11" i="1"/>
  <c r="K18" i="1"/>
  <c r="S18" i="1"/>
  <c r="H19" i="1"/>
  <c r="P19" i="1"/>
  <c r="D19" i="1"/>
  <c r="H13" i="1"/>
  <c r="P13" i="1"/>
  <c r="D13" i="1"/>
  <c r="L11" i="1"/>
  <c r="T11" i="1"/>
  <c r="L18" i="1"/>
  <c r="T18" i="1"/>
  <c r="I19" i="1"/>
  <c r="Q19" i="1"/>
  <c r="D18" i="1"/>
  <c r="U18" i="1"/>
  <c r="J13" i="1"/>
  <c r="R13" i="1"/>
  <c r="F11" i="1"/>
  <c r="N11" i="1"/>
  <c r="V11" i="1"/>
  <c r="F18" i="1"/>
  <c r="N18" i="1"/>
  <c r="V18" i="1"/>
  <c r="K19" i="1"/>
  <c r="S19" i="1"/>
  <c r="K13" i="1"/>
  <c r="S13" i="1"/>
  <c r="G11" i="1"/>
  <c r="O11" i="1"/>
  <c r="W11" i="1"/>
  <c r="G18" i="1"/>
  <c r="O18" i="1"/>
  <c r="W18" i="1"/>
  <c r="L19" i="1"/>
  <c r="T19" i="1"/>
  <c r="E11" i="1"/>
  <c r="U11" i="1"/>
  <c r="J19" i="1"/>
  <c r="L13" i="1"/>
  <c r="T13" i="1"/>
  <c r="H11" i="1"/>
  <c r="P11" i="1"/>
  <c r="D11" i="1"/>
  <c r="H18" i="1"/>
  <c r="P18" i="1"/>
  <c r="E19" i="1"/>
  <c r="M19" i="1"/>
  <c r="U19" i="1"/>
  <c r="Q13" i="1"/>
  <c r="M18" i="1"/>
  <c r="E13" i="1"/>
  <c r="M13" i="1"/>
  <c r="U13" i="1"/>
  <c r="I11" i="1"/>
  <c r="Z11" i="1" s="1"/>
  <c r="Q11" i="1"/>
  <c r="I18" i="1"/>
  <c r="Z18" i="1" s="1"/>
  <c r="Q18" i="1"/>
  <c r="F19" i="1"/>
  <c r="N19" i="1"/>
  <c r="V19" i="1"/>
  <c r="I13" i="1"/>
  <c r="M11" i="1"/>
  <c r="E18" i="1"/>
  <c r="F13" i="1"/>
  <c r="N13" i="1"/>
  <c r="AA13" i="1" s="1"/>
  <c r="V13" i="1"/>
  <c r="J11" i="1"/>
  <c r="R11" i="1"/>
  <c r="J18" i="1"/>
  <c r="R18" i="1"/>
  <c r="G19" i="1"/>
  <c r="O19" i="1"/>
  <c r="W19" i="1"/>
  <c r="R19" i="1"/>
  <c r="Z7" i="1"/>
  <c r="Y7" i="1"/>
  <c r="G4" i="5"/>
  <c r="D4" i="5"/>
  <c r="F4" i="5"/>
  <c r="Y13" i="1" l="1"/>
  <c r="AB19" i="1"/>
  <c r="AB11" i="1"/>
  <c r="AA18" i="1"/>
  <c r="Y18" i="1"/>
  <c r="Z13" i="1"/>
  <c r="Z19" i="1"/>
  <c r="Y19" i="1"/>
  <c r="AB18" i="1"/>
  <c r="AA19" i="1"/>
  <c r="AB13" i="1"/>
  <c r="AA11" i="1"/>
  <c r="Y11" i="1"/>
  <c r="AC11" i="1" s="1"/>
  <c r="C19" i="1"/>
  <c r="C18" i="1"/>
  <c r="C35" i="1"/>
  <c r="AC13" i="1" l="1"/>
  <c r="AC18" i="1"/>
  <c r="AC19" i="1"/>
  <c r="H13" i="4"/>
  <c r="E13" i="4"/>
  <c r="I13" i="4" s="1"/>
  <c r="F13" i="4"/>
  <c r="J13" i="4" s="1"/>
  <c r="C10" i="5"/>
  <c r="C11" i="5"/>
  <c r="C20" i="5"/>
  <c r="C19" i="5"/>
  <c r="C18" i="5"/>
  <c r="C17" i="5"/>
  <c r="C13" i="5"/>
  <c r="C12" i="5"/>
  <c r="C9" i="5"/>
  <c r="C8" i="5"/>
  <c r="C7" i="5"/>
  <c r="C6" i="5"/>
  <c r="C5" i="5"/>
  <c r="C4" i="5"/>
  <c r="H4" i="4"/>
  <c r="H5" i="4"/>
  <c r="H6" i="4"/>
  <c r="H7" i="4"/>
  <c r="H8" i="4"/>
  <c r="H9" i="4"/>
  <c r="H10" i="4"/>
  <c r="H11" i="4"/>
  <c r="H12" i="4"/>
  <c r="J31" i="1" l="1"/>
  <c r="R31" i="1"/>
  <c r="K31" i="1"/>
  <c r="S31" i="1"/>
  <c r="E31" i="1"/>
  <c r="M31" i="1"/>
  <c r="U31" i="1"/>
  <c r="F31" i="1"/>
  <c r="N31" i="1"/>
  <c r="V31" i="1"/>
  <c r="T31" i="1"/>
  <c r="G31" i="1"/>
  <c r="O31" i="1"/>
  <c r="W31" i="1"/>
  <c r="H31" i="1"/>
  <c r="P31" i="1"/>
  <c r="I31" i="1"/>
  <c r="Q31" i="1"/>
  <c r="L31" i="1"/>
  <c r="D31" i="1"/>
  <c r="G14" i="5"/>
  <c r="F14" i="5"/>
  <c r="H15" i="5"/>
  <c r="H3" i="5" s="1"/>
  <c r="G15" i="5"/>
  <c r="AC7" i="1"/>
  <c r="E3" i="5"/>
  <c r="I3" i="5"/>
  <c r="H14" i="4"/>
  <c r="E8" i="4"/>
  <c r="I8" i="4" s="1"/>
  <c r="F8" i="4"/>
  <c r="J8" i="4" s="1"/>
  <c r="E9" i="4"/>
  <c r="I9" i="4" s="1"/>
  <c r="F9" i="4"/>
  <c r="J9" i="4" s="1"/>
  <c r="E10" i="4"/>
  <c r="I10" i="4" s="1"/>
  <c r="F10" i="4"/>
  <c r="J10" i="4" s="1"/>
  <c r="E11" i="4"/>
  <c r="I11" i="4" s="1"/>
  <c r="F11" i="4"/>
  <c r="J11" i="4" s="1"/>
  <c r="E12" i="4"/>
  <c r="I12" i="4" s="1"/>
  <c r="F12" i="4"/>
  <c r="J12" i="4" s="1"/>
  <c r="E7" i="4"/>
  <c r="I7" i="4" s="1"/>
  <c r="F7" i="4"/>
  <c r="J7" i="4" s="1"/>
  <c r="L25" i="1" l="1"/>
  <c r="T25" i="1"/>
  <c r="E25" i="1"/>
  <c r="M25" i="1"/>
  <c r="U25" i="1"/>
  <c r="G25" i="1"/>
  <c r="O25" i="1"/>
  <c r="W25" i="1"/>
  <c r="H25" i="1"/>
  <c r="P25" i="1"/>
  <c r="V25" i="1"/>
  <c r="I25" i="1"/>
  <c r="Q25" i="1"/>
  <c r="J25" i="1"/>
  <c r="R25" i="1"/>
  <c r="N25" i="1"/>
  <c r="AA25" i="1" s="1"/>
  <c r="K25" i="1"/>
  <c r="S25" i="1"/>
  <c r="F25" i="1"/>
  <c r="E30" i="1"/>
  <c r="M30" i="1"/>
  <c r="U30" i="1"/>
  <c r="W30" i="1"/>
  <c r="F30" i="1"/>
  <c r="N30" i="1"/>
  <c r="V30" i="1"/>
  <c r="H30" i="1"/>
  <c r="P30" i="1"/>
  <c r="I30" i="1"/>
  <c r="Q30" i="1"/>
  <c r="J30" i="1"/>
  <c r="R30" i="1"/>
  <c r="G30" i="1"/>
  <c r="K30" i="1"/>
  <c r="S30" i="1"/>
  <c r="D30" i="1"/>
  <c r="O30" i="1"/>
  <c r="L30" i="1"/>
  <c r="T30" i="1"/>
  <c r="AB31" i="1"/>
  <c r="Y31" i="1"/>
  <c r="F27" i="1"/>
  <c r="N27" i="1"/>
  <c r="V27" i="1"/>
  <c r="P27" i="1"/>
  <c r="G27" i="1"/>
  <c r="O27" i="1"/>
  <c r="W27" i="1"/>
  <c r="I27" i="1"/>
  <c r="Q27" i="1"/>
  <c r="J27" i="1"/>
  <c r="R27" i="1"/>
  <c r="H27" i="1"/>
  <c r="K27" i="1"/>
  <c r="S27" i="1"/>
  <c r="L27" i="1"/>
  <c r="T27" i="1"/>
  <c r="E27" i="1"/>
  <c r="M27" i="1"/>
  <c r="U27" i="1"/>
  <c r="K28" i="1"/>
  <c r="S28" i="1"/>
  <c r="D28" i="1"/>
  <c r="L28" i="1"/>
  <c r="T28" i="1"/>
  <c r="F28" i="1"/>
  <c r="N28" i="1"/>
  <c r="V28" i="1"/>
  <c r="G28" i="1"/>
  <c r="O28" i="1"/>
  <c r="W28" i="1"/>
  <c r="H28" i="1"/>
  <c r="P28" i="1"/>
  <c r="U28" i="1"/>
  <c r="I28" i="1"/>
  <c r="Q28" i="1"/>
  <c r="M28" i="1"/>
  <c r="J28" i="1"/>
  <c r="R28" i="1"/>
  <c r="E28" i="1"/>
  <c r="I26" i="1"/>
  <c r="Q26" i="1"/>
  <c r="J26" i="1"/>
  <c r="R26" i="1"/>
  <c r="S26" i="1"/>
  <c r="L26" i="1"/>
  <c r="T26" i="1"/>
  <c r="E26" i="1"/>
  <c r="M26" i="1"/>
  <c r="U26" i="1"/>
  <c r="F26" i="1"/>
  <c r="N26" i="1"/>
  <c r="V26" i="1"/>
  <c r="K26" i="1"/>
  <c r="G26" i="1"/>
  <c r="O26" i="1"/>
  <c r="W26" i="1"/>
  <c r="H26" i="1"/>
  <c r="P26" i="1"/>
  <c r="Z31" i="1"/>
  <c r="AA31" i="1"/>
  <c r="C14" i="5"/>
  <c r="F3" i="5"/>
  <c r="C15" i="5"/>
  <c r="G3" i="5"/>
  <c r="C31" i="1"/>
  <c r="D27" i="1"/>
  <c r="D26" i="1"/>
  <c r="D25" i="1"/>
  <c r="F5" i="4"/>
  <c r="J5" i="4" s="1"/>
  <c r="F6" i="4"/>
  <c r="J6" i="4" s="1"/>
  <c r="E5" i="4"/>
  <c r="I5" i="4" s="1"/>
  <c r="E6" i="4"/>
  <c r="I6" i="4" s="1"/>
  <c r="F4" i="4"/>
  <c r="J4" i="4" s="1"/>
  <c r="F3" i="4"/>
  <c r="J3" i="4" s="1"/>
  <c r="E4" i="4"/>
  <c r="I4" i="4" s="1"/>
  <c r="E3" i="4"/>
  <c r="I3" i="4" s="1"/>
  <c r="Y25" i="1" l="1"/>
  <c r="AB26" i="1"/>
  <c r="Z30" i="1"/>
  <c r="AA26" i="1"/>
  <c r="Y30" i="1"/>
  <c r="Z25" i="1"/>
  <c r="Y28" i="1"/>
  <c r="Y26" i="1"/>
  <c r="Y27" i="1"/>
  <c r="Z28" i="1"/>
  <c r="AA27" i="1"/>
  <c r="AB30" i="1"/>
  <c r="AB28" i="1"/>
  <c r="AB25" i="1"/>
  <c r="H29" i="1"/>
  <c r="P29" i="1"/>
  <c r="I29" i="1"/>
  <c r="Z29" i="1" s="1"/>
  <c r="Q29" i="1"/>
  <c r="K29" i="1"/>
  <c r="S29" i="1"/>
  <c r="J29" i="1"/>
  <c r="L29" i="1"/>
  <c r="T29" i="1"/>
  <c r="R29" i="1"/>
  <c r="E29" i="1"/>
  <c r="M29" i="1"/>
  <c r="U29" i="1"/>
  <c r="F29" i="1"/>
  <c r="N29" i="1"/>
  <c r="V29" i="1"/>
  <c r="G29" i="1"/>
  <c r="O29" i="1"/>
  <c r="W29" i="1"/>
  <c r="D29" i="1"/>
  <c r="AB27" i="1"/>
  <c r="G23" i="1"/>
  <c r="G10" i="1" s="1"/>
  <c r="O23" i="1"/>
  <c r="O10" i="1" s="1"/>
  <c r="W23" i="1"/>
  <c r="W10" i="1" s="1"/>
  <c r="Q23" i="1"/>
  <c r="Q10" i="1" s="1"/>
  <c r="H23" i="1"/>
  <c r="H10" i="1" s="1"/>
  <c r="P23" i="1"/>
  <c r="P10" i="1" s="1"/>
  <c r="D23" i="1"/>
  <c r="J23" i="1"/>
  <c r="J10" i="1" s="1"/>
  <c r="R23" i="1"/>
  <c r="R10" i="1" s="1"/>
  <c r="K23" i="1"/>
  <c r="K10" i="1" s="1"/>
  <c r="S23" i="1"/>
  <c r="L23" i="1"/>
  <c r="L10" i="1" s="1"/>
  <c r="T23" i="1"/>
  <c r="T10" i="1" s="1"/>
  <c r="I23" i="1"/>
  <c r="E23" i="1"/>
  <c r="E10" i="1" s="1"/>
  <c r="M23" i="1"/>
  <c r="M10" i="1" s="1"/>
  <c r="U23" i="1"/>
  <c r="U10" i="1" s="1"/>
  <c r="F23" i="1"/>
  <c r="F10" i="1" s="1"/>
  <c r="N23" i="1"/>
  <c r="V23" i="1"/>
  <c r="V10" i="1" s="1"/>
  <c r="AA28" i="1"/>
  <c r="Z26" i="1"/>
  <c r="Z27" i="1"/>
  <c r="AA30" i="1"/>
  <c r="G24" i="1"/>
  <c r="O24" i="1"/>
  <c r="W24" i="1"/>
  <c r="I24" i="1"/>
  <c r="Q24" i="1"/>
  <c r="J24" i="1"/>
  <c r="K24" i="1"/>
  <c r="T24" i="1"/>
  <c r="E24" i="1"/>
  <c r="U24" i="1"/>
  <c r="U22" i="1" s="1"/>
  <c r="U20" i="1" s="1"/>
  <c r="N24" i="1"/>
  <c r="H24" i="1"/>
  <c r="P24" i="1"/>
  <c r="D24" i="1"/>
  <c r="R24" i="1"/>
  <c r="S24" i="1"/>
  <c r="L24" i="1"/>
  <c r="M24" i="1"/>
  <c r="F24" i="1"/>
  <c r="V24" i="1"/>
  <c r="AC31" i="1"/>
  <c r="I14" i="4"/>
  <c r="J14" i="4"/>
  <c r="C25" i="1"/>
  <c r="C26" i="1"/>
  <c r="C27" i="1"/>
  <c r="C28" i="1"/>
  <c r="C30" i="1"/>
  <c r="C32" i="1"/>
  <c r="C4" i="1"/>
  <c r="C5" i="1"/>
  <c r="C6" i="1"/>
  <c r="C7" i="1"/>
  <c r="C8" i="1"/>
  <c r="C9" i="1"/>
  <c r="C11" i="1"/>
  <c r="C12" i="1"/>
  <c r="C13" i="1"/>
  <c r="C15" i="1"/>
  <c r="C16" i="1"/>
  <c r="C21" i="1"/>
  <c r="N10" i="1" l="1"/>
  <c r="AA10" i="1" s="1"/>
  <c r="AA23" i="1"/>
  <c r="S10" i="1"/>
  <c r="AB10" i="1" s="1"/>
  <c r="AB23" i="1"/>
  <c r="AA29" i="1"/>
  <c r="AB29" i="1"/>
  <c r="T22" i="1"/>
  <c r="T20" i="1" s="1"/>
  <c r="AB24" i="1"/>
  <c r="D10" i="1"/>
  <c r="Y10" i="1" s="1"/>
  <c r="Y23" i="1"/>
  <c r="Y29" i="1"/>
  <c r="I10" i="1"/>
  <c r="Z10" i="1" s="1"/>
  <c r="Z23" i="1"/>
  <c r="S22" i="1"/>
  <c r="S20" i="1" s="1"/>
  <c r="Z24" i="1"/>
  <c r="Y24" i="1"/>
  <c r="AA24" i="1"/>
  <c r="U14" i="1"/>
  <c r="U3" i="1"/>
  <c r="U33" i="1" s="1"/>
  <c r="C10" i="1"/>
  <c r="C24" i="1"/>
  <c r="AC25" i="1"/>
  <c r="AC27" i="1"/>
  <c r="AC26" i="1"/>
  <c r="W22" i="1"/>
  <c r="W20" i="1" s="1"/>
  <c r="K22" i="1"/>
  <c r="K20" i="1" s="1"/>
  <c r="AC28" i="1"/>
  <c r="AC30" i="1"/>
  <c r="I22" i="1"/>
  <c r="I20" i="1" s="1"/>
  <c r="G22" i="1"/>
  <c r="G20" i="1" s="1"/>
  <c r="P22" i="1"/>
  <c r="P20" i="1" s="1"/>
  <c r="V22" i="1"/>
  <c r="V20" i="1" s="1"/>
  <c r="H22" i="1"/>
  <c r="H20" i="1" s="1"/>
  <c r="R22" i="1"/>
  <c r="R20" i="1" s="1"/>
  <c r="O22" i="1"/>
  <c r="O20" i="1" s="1"/>
  <c r="M22" i="1"/>
  <c r="M20" i="1" s="1"/>
  <c r="J22" i="1"/>
  <c r="J20" i="1" s="1"/>
  <c r="E22" i="1"/>
  <c r="E20" i="1" s="1"/>
  <c r="F22" i="1"/>
  <c r="F20" i="1" s="1"/>
  <c r="Q22" i="1"/>
  <c r="Q20" i="1" s="1"/>
  <c r="N22" i="1"/>
  <c r="N20" i="1" s="1"/>
  <c r="L22" i="1"/>
  <c r="L20" i="1" s="1"/>
  <c r="D22" i="1"/>
  <c r="D20" i="1" s="1"/>
  <c r="C23" i="1"/>
  <c r="C29" i="1"/>
  <c r="Y20" i="1" l="1"/>
  <c r="T14" i="1"/>
  <c r="T3" i="1" s="1"/>
  <c r="T33" i="1" s="1"/>
  <c r="AB20" i="1"/>
  <c r="AA20" i="1"/>
  <c r="S14" i="1"/>
  <c r="Z20" i="1"/>
  <c r="O14" i="1"/>
  <c r="N14" i="1"/>
  <c r="G14" i="1"/>
  <c r="G3" i="1" s="1"/>
  <c r="G33" i="1" s="1"/>
  <c r="Q14" i="1"/>
  <c r="I14" i="1"/>
  <c r="L14" i="1"/>
  <c r="R14" i="1"/>
  <c r="E14" i="1"/>
  <c r="H14" i="1"/>
  <c r="V14" i="1"/>
  <c r="K14" i="1"/>
  <c r="F14" i="1"/>
  <c r="J14" i="1"/>
  <c r="M14" i="1"/>
  <c r="W14" i="1"/>
  <c r="P14" i="1"/>
  <c r="D14" i="1"/>
  <c r="AC24" i="1"/>
  <c r="AC10" i="1"/>
  <c r="AC29" i="1"/>
  <c r="AC23" i="1"/>
  <c r="Z22" i="1"/>
  <c r="AB22" i="1"/>
  <c r="AA22" i="1"/>
  <c r="Y22" i="1"/>
  <c r="C22" i="1"/>
  <c r="AB14" i="1" l="1"/>
  <c r="I3" i="1"/>
  <c r="I33" i="1" s="1"/>
  <c r="Z14" i="1"/>
  <c r="AA14" i="1"/>
  <c r="Y14" i="1"/>
  <c r="W3" i="1"/>
  <c r="W33" i="1" s="1"/>
  <c r="K3" i="1"/>
  <c r="K33" i="1" s="1"/>
  <c r="L3" i="1"/>
  <c r="L33" i="1" s="1"/>
  <c r="V3" i="1"/>
  <c r="V33" i="1" s="1"/>
  <c r="P3" i="1"/>
  <c r="P33" i="1" s="1"/>
  <c r="M3" i="1"/>
  <c r="M33" i="1" s="1"/>
  <c r="H3" i="1"/>
  <c r="H33" i="1" s="1"/>
  <c r="Q3" i="1"/>
  <c r="Q33" i="1" s="1"/>
  <c r="O3" i="1"/>
  <c r="O33" i="1" s="1"/>
  <c r="N3" i="1"/>
  <c r="N33" i="1" s="1"/>
  <c r="F3" i="1"/>
  <c r="F33" i="1" s="1"/>
  <c r="J3" i="1"/>
  <c r="J33" i="1" s="1"/>
  <c r="R3" i="1"/>
  <c r="R33" i="1" s="1"/>
  <c r="AC22" i="1"/>
  <c r="S3" i="1"/>
  <c r="S33" i="1" s="1"/>
  <c r="C14" i="1"/>
  <c r="E3" i="1"/>
  <c r="E33" i="1" s="1"/>
  <c r="C20" i="1"/>
  <c r="D3" i="5"/>
  <c r="C21" i="5"/>
  <c r="C3" i="5" s="1"/>
  <c r="C41" i="1" s="1"/>
  <c r="C42" i="1" l="1"/>
  <c r="AC35" i="1"/>
  <c r="AC20" i="1"/>
  <c r="AA3" i="1"/>
  <c r="AA33" i="1" s="1"/>
  <c r="Z3" i="1"/>
  <c r="Z33" i="1" s="1"/>
  <c r="AC14" i="1"/>
  <c r="AB3" i="1"/>
  <c r="AB33" i="1" s="1"/>
  <c r="C3" i="1" l="1"/>
  <c r="D3" i="1"/>
  <c r="D33" i="1" s="1"/>
  <c r="D37" i="1" l="1"/>
  <c r="D34" i="1"/>
  <c r="E34" i="1" s="1"/>
  <c r="F34" i="1" s="1"/>
  <c r="G34" i="1" s="1"/>
  <c r="H34" i="1" s="1"/>
  <c r="I34" i="1" s="1"/>
  <c r="Y3" i="1"/>
  <c r="J34" i="1" l="1"/>
  <c r="K34" i="1" s="1"/>
  <c r="L34" i="1" s="1"/>
  <c r="M34" i="1" s="1"/>
  <c r="N34" i="1" s="1"/>
  <c r="Z34" i="1"/>
  <c r="Y34" i="1"/>
  <c r="Y33" i="1"/>
  <c r="Y37" i="1" s="1"/>
  <c r="AC3" i="1"/>
  <c r="AC33" i="1" s="1"/>
  <c r="E37" i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O34" i="1" l="1"/>
  <c r="P34" i="1" s="1"/>
  <c r="Q34" i="1" s="1"/>
  <c r="R34" i="1" s="1"/>
  <c r="S34" i="1" s="1"/>
  <c r="T34" i="1" s="1"/>
  <c r="U34" i="1" s="1"/>
  <c r="V34" i="1" s="1"/>
  <c r="W34" i="1" s="1"/>
  <c r="Z37" i="1"/>
  <c r="AA37" i="1" s="1"/>
  <c r="AB37" i="1" s="1"/>
  <c r="AC37" i="1" s="1"/>
  <c r="AA34" i="1" l="1"/>
  <c r="AB34" i="1" s="1"/>
  <c r="AC34" i="1" s="1"/>
</calcChain>
</file>

<file path=xl/sharedStrings.xml><?xml version="1.0" encoding="utf-8"?>
<sst xmlns="http://schemas.openxmlformats.org/spreadsheetml/2006/main" count="367" uniqueCount="310">
  <si>
    <t>№</t>
  </si>
  <si>
    <t>Наименование</t>
  </si>
  <si>
    <t>1 мес.</t>
  </si>
  <si>
    <t>2 мес.</t>
  </si>
  <si>
    <t>3 мес.</t>
  </si>
  <si>
    <t>4 мес.</t>
  </si>
  <si>
    <t>5 мес.</t>
  </si>
  <si>
    <t>6 мес.</t>
  </si>
  <si>
    <t>Расходы:</t>
  </si>
  <si>
    <t>1.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</si>
  <si>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</si>
  <si>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</si>
  <si>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</si>
  <si>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</si>
  <si>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</si>
  <si>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</si>
  <si>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</si>
  <si>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</si>
  <si>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</si>
  <si>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</si>
  <si>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</si>
  <si>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</si>
  <si>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 xml:space="preserve">Оборудование </t>
  </si>
  <si>
    <t>Регистрация предприятия</t>
  </si>
  <si>
    <t>Аренда производственой площадки</t>
  </si>
  <si>
    <t>Аренда офиса</t>
  </si>
  <si>
    <t xml:space="preserve">Операционные расходы </t>
  </si>
  <si>
    <t xml:space="preserve"> Компьютеры и орг. техника </t>
  </si>
  <si>
    <t>Промышленная безопастность</t>
  </si>
  <si>
    <t>Автопогрузчик</t>
  </si>
  <si>
    <t>Инструмент</t>
  </si>
  <si>
    <t>1-13</t>
  </si>
  <si>
    <t>1-14</t>
  </si>
  <si>
    <t>1-15</t>
  </si>
  <si>
    <t>1-16</t>
  </si>
  <si>
    <t>1-17</t>
  </si>
  <si>
    <t>ФОТ</t>
  </si>
  <si>
    <t>2.</t>
  </si>
  <si>
    <t>Доходы:</t>
  </si>
  <si>
    <t>3.</t>
  </si>
  <si>
    <t>4.</t>
  </si>
  <si>
    <t>Операционная прибыль (доход-расход)</t>
  </si>
  <si>
    <t>5.</t>
  </si>
  <si>
    <t>Дивиденды</t>
  </si>
  <si>
    <t>Нераспределенная прибыль</t>
  </si>
  <si>
    <t>6.</t>
  </si>
  <si>
    <t>Тариф</t>
  </si>
  <si>
    <t>Реализация дизеля</t>
  </si>
  <si>
    <t>Прочие</t>
  </si>
  <si>
    <t>Коммандировки</t>
  </si>
  <si>
    <t>Реализация мазута</t>
  </si>
  <si>
    <t>Реализация тяжелых фракций</t>
  </si>
  <si>
    <t>Утилизация фильтров</t>
  </si>
  <si>
    <t>Расходные материалы (производственные)</t>
  </si>
  <si>
    <t>Грузовой транспорт</t>
  </si>
  <si>
    <t>Спецодежда</t>
  </si>
  <si>
    <r>
      <t>Реализация углекислоты (СО</t>
    </r>
    <r>
      <rPr>
        <i/>
        <sz val="6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>)</t>
    </r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</si>
  <si>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</si>
  <si>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</si>
  <si>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</si>
  <si>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</si>
  <si>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</si>
  <si>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</si>
  <si>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</si>
  <si>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</si>
  <si>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</si>
  <si>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Металлолом</t>
  </si>
  <si>
    <t>7.</t>
  </si>
  <si>
    <t>Баланс доходов-расходов (БДР)</t>
  </si>
  <si>
    <t>ВСЕГО</t>
  </si>
  <si>
    <t>% выхода</t>
  </si>
  <si>
    <t>стоимость тонны</t>
  </si>
  <si>
    <t>тонн в сутки</t>
  </si>
  <si>
    <t>тонн в месяц (27 дней)</t>
  </si>
  <si>
    <t>Стоимость в сутки</t>
  </si>
  <si>
    <t>Стоимость в месяц</t>
  </si>
  <si>
    <t>Стоимость в год</t>
  </si>
  <si>
    <t>Газ (пропан-бутан-этан)</t>
  </si>
  <si>
    <t>Мазут М100</t>
  </si>
  <si>
    <t>Гудрон тяжелый</t>
  </si>
  <si>
    <t>6-10</t>
  </si>
  <si>
    <r>
      <t>Жидкий СО</t>
    </r>
    <r>
      <rPr>
        <sz val="8"/>
        <color theme="1"/>
        <rFont val="Calibri"/>
        <family val="2"/>
        <scheme val="minor"/>
      </rPr>
      <t>2</t>
    </r>
  </si>
  <si>
    <t>тонн в год     ( 340 дней)</t>
  </si>
  <si>
    <t>5-8</t>
  </si>
  <si>
    <t>Капитальные затраты</t>
  </si>
  <si>
    <t>Операционная деятельность</t>
  </si>
  <si>
    <t>Обслуживание транспорта</t>
  </si>
  <si>
    <t>ИТОГО</t>
  </si>
  <si>
    <t>Реализация вторсырья</t>
  </si>
  <si>
    <t>Вторсырье</t>
  </si>
  <si>
    <t>Получение лицензии на утилизацию отходов</t>
  </si>
  <si>
    <t>CAPEX -</t>
  </si>
  <si>
    <t>Количество в смену</t>
  </si>
  <si>
    <t>Общее количество</t>
  </si>
  <si>
    <t>Оклад</t>
  </si>
  <si>
    <t>ЗП в месяц</t>
  </si>
  <si>
    <t>Генеральный  директор</t>
  </si>
  <si>
    <t>Финансовый директор</t>
  </si>
  <si>
    <t>Главный бухгалтер</t>
  </si>
  <si>
    <t>Инженер-технолог производства</t>
  </si>
  <si>
    <t>Инженер по охране труда и ТБ</t>
  </si>
  <si>
    <t>Машинист электростанции</t>
  </si>
  <si>
    <t>Машинист газокомпрессорных станций</t>
  </si>
  <si>
    <t>Машинист шредеров</t>
  </si>
  <si>
    <t>Диспетчер на пульте АСУ ТП</t>
  </si>
  <si>
    <t>Подсобный рабочий</t>
  </si>
  <si>
    <t>ИТОГО:</t>
  </si>
  <si>
    <t>Потребляемая мощность (кВт\ч)</t>
  </si>
  <si>
    <t>Цена единицы</t>
  </si>
  <si>
    <t>кол-во</t>
  </si>
  <si>
    <t>Стоимость</t>
  </si>
  <si>
    <t>Итого по разделу:</t>
  </si>
  <si>
    <t>ТОПЛИВНЫЙ УЧАСТОК</t>
  </si>
  <si>
    <t>Цистерны для пиролизной жидкости 100м3</t>
  </si>
  <si>
    <t xml:space="preserve">Насосная абсорбентная станция  </t>
  </si>
  <si>
    <t>Оборудование для очистки топлива на выдачу</t>
  </si>
  <si>
    <t>2</t>
  </si>
  <si>
    <t>РЕАКТОРНЫЙ УЧАСТОК</t>
  </si>
  <si>
    <t xml:space="preserve">Блок охлаждения и конденсации </t>
  </si>
  <si>
    <t xml:space="preserve">Станция очистки синтез газа </t>
  </si>
  <si>
    <t>Станция очистки дымовых газов</t>
  </si>
  <si>
    <t>Станция десульфурации и дегазации</t>
  </si>
  <si>
    <t>3-1</t>
  </si>
  <si>
    <t>3-2</t>
  </si>
  <si>
    <t>7-1</t>
  </si>
  <si>
    <t>5-1</t>
  </si>
  <si>
    <t>3-3</t>
  </si>
  <si>
    <t>3-4</t>
  </si>
  <si>
    <t>3-5</t>
  </si>
  <si>
    <t>3-6</t>
  </si>
  <si>
    <t>ЭЛЕКТРОСТАНЦИЯ</t>
  </si>
  <si>
    <t>4-1</t>
  </si>
  <si>
    <t>Моторное масло Mobil Delvac MX Extra 10W-40 для ГПЭС (0,5г/1Квт.ч.)</t>
  </si>
  <si>
    <t>ГАЗОКОМПРЕССОРНЫЙ УЧАСТОК</t>
  </si>
  <si>
    <t>Станция  сжатия синтез газа</t>
  </si>
  <si>
    <t>Станция фильтрации синтез газа</t>
  </si>
  <si>
    <t>Станция очистки пропан/этан/бутана</t>
  </si>
  <si>
    <t>Станция сжатия пропан/этан/бутана</t>
  </si>
  <si>
    <t>Станция сжижения пропан/этан/бутана</t>
  </si>
  <si>
    <t xml:space="preserve">Крио-газгольдер для СУГ наземный 50 м3 </t>
  </si>
  <si>
    <t>Емкости для СО2 УДХ50-2.0 50м3</t>
  </si>
  <si>
    <t>5-2</t>
  </si>
  <si>
    <t>5-3</t>
  </si>
  <si>
    <t>5-4</t>
  </si>
  <si>
    <t>5-5</t>
  </si>
  <si>
    <t>5-6</t>
  </si>
  <si>
    <t>5-7</t>
  </si>
  <si>
    <t>5-9</t>
  </si>
  <si>
    <t>5-10</t>
  </si>
  <si>
    <t>НАСОСНЫЙ УЧАСТОК</t>
  </si>
  <si>
    <t>Насосная станция обслуживания топливного парка</t>
  </si>
  <si>
    <t>Насосная магистральная станция</t>
  </si>
  <si>
    <t>Насосная станция горячих масел 1*8 шт</t>
  </si>
  <si>
    <t>6-1</t>
  </si>
  <si>
    <t>6-3</t>
  </si>
  <si>
    <t>6-2</t>
  </si>
  <si>
    <t>6-4</t>
  </si>
  <si>
    <t>6-5</t>
  </si>
  <si>
    <t>6-6</t>
  </si>
  <si>
    <t>УЧАСТОК ПОЖАРОТУШЕНИЯ</t>
  </si>
  <si>
    <t>Станция пенного пожаротушения</t>
  </si>
  <si>
    <t>Пожарный резервуар для воды 100 м3</t>
  </si>
  <si>
    <t>Станция газового пожаротушения</t>
  </si>
  <si>
    <t>7-2</t>
  </si>
  <si>
    <t>7-3</t>
  </si>
  <si>
    <t>Фильтры для газоочистных станций</t>
  </si>
  <si>
    <t>КОММУНИКАЦИИ</t>
  </si>
  <si>
    <t>Коммуникации, трубопроводы, автоматика</t>
  </si>
  <si>
    <t>8-1</t>
  </si>
  <si>
    <t>АВТОМАТИЗАЦИЯ</t>
  </si>
  <si>
    <t xml:space="preserve">АСУ ТП и Д </t>
  </si>
  <si>
    <t>9-1</t>
  </si>
  <si>
    <t>ПЛОЩАДОЧНАЯ ТЕХНИКА</t>
  </si>
  <si>
    <t>Перегружатель-экскаватор  лепестковый</t>
  </si>
  <si>
    <t>Погрузчик фронтальный</t>
  </si>
  <si>
    <t>Погрузчик Bobcat S650</t>
  </si>
  <si>
    <t>10-1</t>
  </si>
  <si>
    <t>10-2</t>
  </si>
  <si>
    <t>10-3</t>
  </si>
  <si>
    <t>ДОПОЛНИТЕЛЬНОЕ ОБОРУДОВАНИЕ</t>
  </si>
  <si>
    <t>11-1</t>
  </si>
  <si>
    <t>Всего по всем разделам:</t>
  </si>
  <si>
    <t>Капитальное строительство (АБК)</t>
  </si>
  <si>
    <t>Технический директор</t>
  </si>
  <si>
    <t>Бухгалтер калькулятор</t>
  </si>
  <si>
    <t>Инженер энергетик</t>
  </si>
  <si>
    <t>Инженер по эксплуатации зданий и сооружений</t>
  </si>
  <si>
    <t>Инженер-эколог</t>
  </si>
  <si>
    <t>Инженер кадровой службы</t>
  </si>
  <si>
    <t>Менеджер по сырьевому снабжению</t>
  </si>
  <si>
    <t>Менеджер по реализации продукции</t>
  </si>
  <si>
    <t>Мастер участка</t>
  </si>
  <si>
    <t>Оператор реакторного участка</t>
  </si>
  <si>
    <t>Машинист стационарного перегружателя</t>
  </si>
  <si>
    <t>Машинист самоходного перегружателя</t>
  </si>
  <si>
    <t>Машинист фронтального погрузчика</t>
  </si>
  <si>
    <t>Машинист мини погрузчика</t>
  </si>
  <si>
    <t>Кладовщик</t>
  </si>
  <si>
    <t xml:space="preserve">Лаборант </t>
  </si>
  <si>
    <t xml:space="preserve">Фельдшер </t>
  </si>
  <si>
    <t xml:space="preserve">Заведующий хозяйством                                   </t>
  </si>
  <si>
    <t>Заведующий столовой</t>
  </si>
  <si>
    <t xml:space="preserve">Заведующий складом                                         </t>
  </si>
  <si>
    <t>Повар общественного питания</t>
  </si>
  <si>
    <t>Кухонный рабочий</t>
  </si>
  <si>
    <t>Рабочий по зданию</t>
  </si>
  <si>
    <t xml:space="preserve">Дезинфектор </t>
  </si>
  <si>
    <t xml:space="preserve">Дворник </t>
  </si>
  <si>
    <t>Уборщик производственных и служебных помещений</t>
  </si>
  <si>
    <t>Фильтры для углекислотной станции.</t>
  </si>
  <si>
    <t>ФОТ (временный для монтажа и пуска)</t>
  </si>
  <si>
    <t>1-18</t>
  </si>
  <si>
    <t>1-19</t>
  </si>
  <si>
    <t>2-10</t>
  </si>
  <si>
    <t>Прочие (3%)</t>
  </si>
  <si>
    <t>ПИР (7%)</t>
  </si>
  <si>
    <t>Силосный бункер 50 м3</t>
  </si>
  <si>
    <t>Цистерны для хранения ГСМ 80 м3</t>
  </si>
  <si>
    <t xml:space="preserve">КГПУ – 720 квт/400в </t>
  </si>
  <si>
    <t>Емкость 250 бар для сжатого пропан/этан/бутана 2000 л</t>
  </si>
  <si>
    <t xml:space="preserve">Емкость 250 бар для сжатого синтез газа 2000 л </t>
  </si>
  <si>
    <t>Оборудование для верхнего налива ГСМ</t>
  </si>
  <si>
    <t>Цистерна переходная для пиролизной жидкости 20 м3</t>
  </si>
  <si>
    <t>Директор АБК</t>
  </si>
  <si>
    <t>Зам директора АБК</t>
  </si>
  <si>
    <t>Создание сайта</t>
  </si>
  <si>
    <t>Поддержание сайта</t>
  </si>
  <si>
    <t>Перечень оборудования</t>
  </si>
  <si>
    <t>Штатное расписание</t>
  </si>
  <si>
    <t>Получаемая продукция</t>
  </si>
  <si>
    <t>Помолочный комплекс с системой аспирации в компл.</t>
  </si>
  <si>
    <t>Силосный бункер 100 м3</t>
  </si>
  <si>
    <t xml:space="preserve">Насосная станция очистки пром.стоков </t>
  </si>
  <si>
    <t>4-2</t>
  </si>
  <si>
    <t>ДГУ -500 квт/380 АД 500-Т400</t>
  </si>
  <si>
    <t>УТК-100</t>
  </si>
  <si>
    <t xml:space="preserve">Станция сжижения СО2 220 кг/ч </t>
  </si>
  <si>
    <t>11-2</t>
  </si>
  <si>
    <t>Накладные расходы производственные 10%</t>
  </si>
  <si>
    <t xml:space="preserve">Инженер </t>
  </si>
  <si>
    <t xml:space="preserve">Оператор </t>
  </si>
  <si>
    <t xml:space="preserve">Электрик </t>
  </si>
  <si>
    <t xml:space="preserve">Слесарь </t>
  </si>
  <si>
    <t>40</t>
  </si>
  <si>
    <t>35-40</t>
  </si>
  <si>
    <t xml:space="preserve">Бензин </t>
  </si>
  <si>
    <t xml:space="preserve">Дизтопливо </t>
  </si>
  <si>
    <t>40-45</t>
  </si>
  <si>
    <t>20-25</t>
  </si>
  <si>
    <t>10-15</t>
  </si>
  <si>
    <t>Шредер вторичный</t>
  </si>
  <si>
    <t>11-5</t>
  </si>
  <si>
    <t>Комплект оборудования для сушки сырья</t>
  </si>
  <si>
    <t>11-6</t>
  </si>
  <si>
    <t>10</t>
  </si>
  <si>
    <t>Зольный остаток (плитка, бордюр…)</t>
  </si>
  <si>
    <t>Зольный остаток (плитка, бордюры…)</t>
  </si>
  <si>
    <t>Реализация пиролизной жидкости</t>
  </si>
  <si>
    <t>Закупка сырья (цемент, песок) для линии плитки</t>
  </si>
  <si>
    <t>Сортировочный комплекс на 200 тонн в сутки</t>
  </si>
  <si>
    <t xml:space="preserve">Шнековый  транспортер/ковшовый элеватор </t>
  </si>
  <si>
    <t xml:space="preserve">Шнековый  транспортер  </t>
  </si>
  <si>
    <t>Пиролизный реактор 180 тонн (рядовая сталь)</t>
  </si>
  <si>
    <t xml:space="preserve">Станция очистки пиролизного масла </t>
  </si>
  <si>
    <t>Канализационные очистные</t>
  </si>
  <si>
    <t>Магнитный сепаратор в комплекте</t>
  </si>
  <si>
    <t>Комплект оборудования для производства плитки/борд</t>
  </si>
  <si>
    <t>Тариф на входное сырье (ТКО)</t>
  </si>
  <si>
    <t>Пиролизная масло</t>
  </si>
  <si>
    <t>Оплата сбора и транспортировки отходов</t>
  </si>
  <si>
    <t>Содержание производственой площадки</t>
  </si>
  <si>
    <t>Коммандировочные расходы</t>
  </si>
  <si>
    <t>Возврат инвестиций (кредита)</t>
  </si>
  <si>
    <t>Капитальное строительство (фундаменты под обор.) 3%</t>
  </si>
  <si>
    <t>Капитальное строительство (ангары из сэндвичпанелей) 5%</t>
  </si>
  <si>
    <t xml:space="preserve">Срок изготовления и комплектации - </t>
  </si>
  <si>
    <t>1 год</t>
  </si>
  <si>
    <t>2 год</t>
  </si>
  <si>
    <t>3 год</t>
  </si>
  <si>
    <t>4 год</t>
  </si>
  <si>
    <t>5 год</t>
  </si>
  <si>
    <t>6 год</t>
  </si>
  <si>
    <t>7 год</t>
  </si>
  <si>
    <t>8 год</t>
  </si>
  <si>
    <t>9 год</t>
  </si>
  <si>
    <t>10 год</t>
  </si>
  <si>
    <t>11 год</t>
  </si>
  <si>
    <t>12 год</t>
  </si>
  <si>
    <t>13 год</t>
  </si>
  <si>
    <t>14 год</t>
  </si>
  <si>
    <t>15 год</t>
  </si>
  <si>
    <t>16 год</t>
  </si>
  <si>
    <t>17 год</t>
  </si>
  <si>
    <t>18 год</t>
  </si>
  <si>
    <t>19 год</t>
  </si>
  <si>
    <t>20 год</t>
  </si>
  <si>
    <t xml:space="preserve">Документация и сертификация </t>
  </si>
  <si>
    <t>Налоги  (~30%)</t>
  </si>
  <si>
    <t>Техническое обслуживание оборудования (1,5% год)</t>
  </si>
  <si>
    <t>5 лет</t>
  </si>
  <si>
    <t>10 лет</t>
  </si>
  <si>
    <t>15 лет</t>
  </si>
  <si>
    <t>20 лет</t>
  </si>
  <si>
    <t>ВСЕГО за 20 лет.</t>
  </si>
  <si>
    <t>10 месяцев</t>
  </si>
  <si>
    <t>2 месяца</t>
  </si>
  <si>
    <t>Проектирование -</t>
  </si>
  <si>
    <t xml:space="preserve">Срок монтажа и пуско-наладки - </t>
  </si>
  <si>
    <t>Шредер первичный</t>
  </si>
  <si>
    <t>УЧАСТОК ПОДГОТОВКИ СЫРЬЯ PYROLY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</si>
</sst>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0" fillId="6" borderId="1" xfId="0" applyFill="1" applyBorder="1"/>
    <xf numFmtId="0" fontId="4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left"/>
    </xf>
    <xf numFmtId="164" fontId="0" fillId="3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0" fontId="3" fillId="7" borderId="1" xfId="0" applyFont="1" applyFill="1" applyBorder="1"/>
    <xf numFmtId="164" fontId="0" fillId="7" borderId="1" xfId="0" applyNumberFormat="1" applyFill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49" fontId="0" fillId="0" borderId="1" xfId="0" applyNumberFormat="1" applyBorder="1" applyAlignment="1">
      <alignment horizontal="center"/>
    </xf>
    <xf numFmtId="164" fontId="7" fillId="3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/>
    <xf numFmtId="164" fontId="7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/>
    <xf numFmtId="164" fontId="2" fillId="7" borderId="1" xfId="0" applyNumberFormat="1" applyFont="1" applyFill="1" applyBorder="1"/>
    <xf numFmtId="164" fontId="2" fillId="6" borderId="1" xfId="0" applyNumberFormat="1" applyFont="1" applyFill="1" applyBorder="1" applyAlignment="1">
      <alignment horizontal="left"/>
    </xf>
    <xf numFmtId="164" fontId="0" fillId="4" borderId="1" xfId="0" applyNumberFormat="1" applyFill="1" applyBorder="1"/>
    <xf numFmtId="0" fontId="0" fillId="0" borderId="1" xfId="0" applyBorder="1" applyAlignment="1">
      <alignment horizontal="right"/>
    </xf>
    <xf numFmtId="164" fontId="3" fillId="4" borderId="1" xfId="0" applyNumberFormat="1" applyFont="1" applyFill="1" applyBorder="1"/>
    <xf numFmtId="0" fontId="8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6" borderId="1" xfId="0" applyFill="1" applyBorder="1" applyAlignment="1">
      <alignment horizontal="center"/>
    </xf>
    <xf numFmtId="49" fontId="0" fillId="8" borderId="1" xfId="0" applyNumberForma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 vertical="center" wrapText="1"/>
    </xf>
    <xf numFmtId="0" fontId="1" fillId="6" borderId="1" xfId="0" applyFont="1" applyFill="1" applyBorder="1"/>
    <xf numFmtId="49" fontId="0" fillId="0" borderId="1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right"/>
    </xf>
    <xf numFmtId="0" fontId="0" fillId="9" borderId="1" xfId="0" applyFill="1" applyBorder="1"/>
    <xf numFmtId="164" fontId="0" fillId="9" borderId="1" xfId="0" applyNumberFormat="1" applyFill="1" applyBorder="1"/>
    <xf numFmtId="49" fontId="0" fillId="9" borderId="1" xfId="0" applyNumberForma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9" fillId="9" borderId="1" xfId="0" applyNumberFormat="1" applyFont="1" applyFill="1" applyBorder="1" applyAlignment="1">
      <alignment horizontal="right"/>
    </xf>
    <xf numFmtId="0" fontId="3" fillId="9" borderId="1" xfId="0" applyFont="1" applyFill="1" applyBorder="1"/>
    <xf numFmtId="164" fontId="3" fillId="9" borderId="1" xfId="0" applyNumberFormat="1" applyFont="1" applyFill="1" applyBorder="1"/>
    <xf numFmtId="164" fontId="0" fillId="9" borderId="0" xfId="0" applyNumberFormat="1" applyFill="1"/>
    <xf numFmtId="0" fontId="0" fillId="2" borderId="2" xfId="0" applyFill="1" applyBorder="1" applyAlignment="1">
      <alignment horizontal="center" vertical="center"/>
    </xf>
    <xf numFmtId="164" fontId="0" fillId="9" borderId="2" xfId="0" applyNumberFormat="1" applyFill="1" applyBorder="1"/>
    <xf numFmtId="164" fontId="0" fillId="3" borderId="2" xfId="0" applyNumberFormat="1" applyFill="1" applyBorder="1"/>
    <xf numFmtId="164" fontId="0" fillId="5" borderId="2" xfId="0" applyNumberFormat="1" applyFill="1" applyBorder="1"/>
    <xf numFmtId="164" fontId="0" fillId="6" borderId="2" xfId="0" applyNumberFormat="1" applyFill="1" applyBorder="1"/>
    <xf numFmtId="164" fontId="0" fillId="7" borderId="2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lef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opLeftCell="B1" zoomScaleNormal="100" workbookViewId="0">
      <selection activeCell="K14" sqref="K14"/>
    </sheetView>
  </sheetViews>
  <sheetFormatPr defaultRowHeight="14.5" x14ac:dyDescent="0.35"/>
  <cols>
    <col min="1" max="1" width="4.1796875" bestFit="1" customWidth="1"/>
    <col min="2" max="2" width="48.81640625" bestFit="1" customWidth="1"/>
    <col min="3" max="3" width="14.453125" bestFit="1" customWidth="1"/>
    <col min="4" max="4" width="12.81640625" bestFit="1" customWidth="1"/>
    <col min="5" max="5" width="11.453125" bestFit="1" customWidth="1"/>
    <col min="6" max="9" width="12.81640625" bestFit="1" customWidth="1"/>
  </cols>
  <sheetData>
    <row r="1" spans="1:9" x14ac:dyDescent="0.35">
      <c r="B1" t="s">
        <v>84</v>
      </c>
    </row>
    <row r="2" spans="1:9" ht="21.65" customHeight="1" x14ac:dyDescent="0.35">
      <c r="A2" s="1" t="s">
        <v>0</v>
      </c>
      <c r="B2" s="2" t="s">
        <v>1</v>
      </c>
      <c r="C2" s="2" t="s">
        <v>69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ht="15.5" x14ac:dyDescent="0.35">
      <c r="A3" s="3" t="s">
        <v>9</v>
      </c>
      <c r="B3" s="7" t="s">
        <v>8</v>
      </c>
      <c r="C3" s="30">
        <f t="shared" ref="C3:I3" si="0">SUM(C4:C21)</f>
        <v>3989196000</v>
      </c>
      <c r="D3" s="28">
        <f t="shared" si="0"/>
        <v>1846850000</v>
      </c>
      <c r="E3" s="28">
        <f t="shared" si="0"/>
        <v>0</v>
      </c>
      <c r="F3" s="28">
        <f t="shared" si="0"/>
        <v>978830500</v>
      </c>
      <c r="G3" s="28">
        <f t="shared" si="0"/>
        <v>1071173000</v>
      </c>
      <c r="H3" s="28">
        <f t="shared" si="0"/>
        <v>92342500</v>
      </c>
      <c r="I3" s="28">
        <f t="shared" si="0"/>
        <v>0</v>
      </c>
    </row>
    <row r="4" spans="1:9" x14ac:dyDescent="0.35">
      <c r="A4" s="4" t="s">
        <v>10</v>
      </c>
      <c r="B4" s="6" t="s">
        <v>22</v>
      </c>
      <c r="C4" s="22">
        <f t="shared" ref="C4:C21" si="1">SUM(D4:I4)</f>
        <v>3693700000</v>
      </c>
      <c r="D4" s="13">
        <f>Оборудование!$F$78/2</f>
        <v>1846850000</v>
      </c>
      <c r="E4" s="13"/>
      <c r="F4" s="13">
        <f>Оборудование!$F$78/4</f>
        <v>923425000</v>
      </c>
      <c r="G4" s="13">
        <f>Оборудование!$F$78/4</f>
        <v>923425000</v>
      </c>
      <c r="H4" s="13"/>
      <c r="I4" s="13"/>
    </row>
    <row r="5" spans="1:9" x14ac:dyDescent="0.35">
      <c r="A5" s="4" t="s">
        <v>11</v>
      </c>
      <c r="B5" s="6" t="s">
        <v>23</v>
      </c>
      <c r="C5" s="22">
        <f t="shared" si="1"/>
        <v>0</v>
      </c>
      <c r="D5" s="13"/>
      <c r="E5" s="13"/>
      <c r="F5" s="13"/>
      <c r="G5" s="13"/>
      <c r="H5" s="13"/>
      <c r="I5" s="13"/>
    </row>
    <row r="6" spans="1:9" x14ac:dyDescent="0.35">
      <c r="A6" s="4" t="s">
        <v>12</v>
      </c>
      <c r="B6" s="6" t="s">
        <v>225</v>
      </c>
      <c r="C6" s="22">
        <f t="shared" si="1"/>
        <v>0</v>
      </c>
      <c r="D6" s="13"/>
      <c r="E6" s="13"/>
      <c r="F6" s="13"/>
      <c r="G6" s="13"/>
      <c r="H6" s="13"/>
      <c r="I6" s="13"/>
    </row>
    <row r="7" spans="1:9" x14ac:dyDescent="0.35">
      <c r="A7" s="4" t="s">
        <v>13</v>
      </c>
      <c r="B7" s="6" t="s">
        <v>24</v>
      </c>
      <c r="C7" s="22">
        <f t="shared" si="1"/>
        <v>0</v>
      </c>
      <c r="D7" s="13"/>
      <c r="E7" s="13"/>
      <c r="F7" s="13"/>
      <c r="G7" s="13"/>
      <c r="H7" s="13"/>
      <c r="I7" s="13"/>
    </row>
    <row r="8" spans="1:9" x14ac:dyDescent="0.35">
      <c r="A8" s="4" t="s">
        <v>14</v>
      </c>
      <c r="B8" s="6" t="s">
        <v>210</v>
      </c>
      <c r="C8" s="22">
        <f t="shared" si="1"/>
        <v>0</v>
      </c>
      <c r="D8" s="13"/>
      <c r="E8" s="13"/>
      <c r="F8" s="13"/>
      <c r="G8" s="13"/>
      <c r="H8" s="13"/>
      <c r="I8" s="13"/>
    </row>
    <row r="9" spans="1:9" x14ac:dyDescent="0.35">
      <c r="A9" s="4" t="s">
        <v>15</v>
      </c>
      <c r="B9" s="6" t="s">
        <v>27</v>
      </c>
      <c r="C9" s="22">
        <f t="shared" si="1"/>
        <v>0</v>
      </c>
      <c r="D9" s="13"/>
      <c r="E9" s="13"/>
      <c r="F9" s="13"/>
      <c r="G9" s="13"/>
      <c r="H9" s="13"/>
      <c r="I9" s="13"/>
    </row>
    <row r="10" spans="1:9" x14ac:dyDescent="0.35">
      <c r="A10" s="4" t="s">
        <v>16</v>
      </c>
      <c r="B10" s="6" t="s">
        <v>90</v>
      </c>
      <c r="C10" s="22">
        <f t="shared" si="1"/>
        <v>0</v>
      </c>
      <c r="D10" s="13"/>
      <c r="E10" s="13"/>
      <c r="F10" s="13"/>
      <c r="G10" s="13"/>
      <c r="H10" s="13"/>
      <c r="I10" s="13"/>
    </row>
    <row r="11" spans="1:9" x14ac:dyDescent="0.35">
      <c r="A11" s="4" t="s">
        <v>17</v>
      </c>
      <c r="B11" s="6" t="s">
        <v>296</v>
      </c>
      <c r="C11" s="22">
        <f t="shared" si="1"/>
        <v>0</v>
      </c>
      <c r="D11" s="13"/>
      <c r="E11" s="13"/>
      <c r="F11" s="13"/>
      <c r="G11" s="13"/>
      <c r="H11" s="13"/>
      <c r="I11" s="13"/>
    </row>
    <row r="12" spans="1:9" x14ac:dyDescent="0.35">
      <c r="A12" s="4" t="s">
        <v>19</v>
      </c>
      <c r="B12" s="6" t="s">
        <v>28</v>
      </c>
      <c r="C12" s="22">
        <f t="shared" si="1"/>
        <v>0</v>
      </c>
      <c r="D12" s="13"/>
      <c r="E12" s="13"/>
      <c r="F12" s="13"/>
      <c r="G12" s="13"/>
      <c r="H12" s="13"/>
      <c r="I12" s="13"/>
    </row>
    <row r="13" spans="1:9" x14ac:dyDescent="0.35">
      <c r="A13" s="4" t="s">
        <v>20</v>
      </c>
      <c r="B13" s="6" t="s">
        <v>182</v>
      </c>
      <c r="C13" s="22">
        <f t="shared" si="1"/>
        <v>0</v>
      </c>
      <c r="D13" s="13"/>
      <c r="E13" s="13"/>
      <c r="F13" s="13"/>
      <c r="G13" s="13"/>
      <c r="H13" s="13"/>
      <c r="I13" s="13"/>
    </row>
    <row r="14" spans="1:9" x14ac:dyDescent="0.35">
      <c r="A14" s="4" t="s">
        <v>21</v>
      </c>
      <c r="B14" s="6" t="s">
        <v>273</v>
      </c>
      <c r="C14" s="22">
        <f t="shared" si="1"/>
        <v>110811000</v>
      </c>
      <c r="D14" s="13"/>
      <c r="E14" s="13"/>
      <c r="F14" s="13">
        <f>$C$4*0.03/2</f>
        <v>55405500</v>
      </c>
      <c r="G14" s="13">
        <f>$C$4*0.03/2</f>
        <v>55405500</v>
      </c>
      <c r="H14" s="13"/>
      <c r="I14" s="13"/>
    </row>
    <row r="15" spans="1:9" x14ac:dyDescent="0.35">
      <c r="A15" s="4" t="s">
        <v>31</v>
      </c>
      <c r="B15" s="6" t="s">
        <v>274</v>
      </c>
      <c r="C15" s="22">
        <f t="shared" si="1"/>
        <v>184685000</v>
      </c>
      <c r="D15" s="13"/>
      <c r="E15" s="13"/>
      <c r="F15" s="13"/>
      <c r="G15" s="13">
        <f>$C$4*0.05/2</f>
        <v>92342500</v>
      </c>
      <c r="H15" s="13">
        <f>$C$4*0.05/2</f>
        <v>92342500</v>
      </c>
      <c r="I15" s="13"/>
    </row>
    <row r="16" spans="1:9" x14ac:dyDescent="0.35">
      <c r="A16" s="4" t="s">
        <v>32</v>
      </c>
      <c r="B16" s="6" t="s">
        <v>215</v>
      </c>
      <c r="C16" s="22">
        <f t="shared" si="1"/>
        <v>0</v>
      </c>
      <c r="D16" s="13"/>
      <c r="E16" s="13"/>
      <c r="F16" s="13"/>
      <c r="G16" s="13"/>
      <c r="H16" s="13"/>
      <c r="I16" s="13"/>
    </row>
    <row r="17" spans="1:9" x14ac:dyDescent="0.35">
      <c r="A17" s="4" t="s">
        <v>33</v>
      </c>
      <c r="B17" s="6" t="s">
        <v>54</v>
      </c>
      <c r="C17" s="22">
        <f t="shared" si="1"/>
        <v>0</v>
      </c>
      <c r="D17" s="13"/>
      <c r="E17" s="13"/>
      <c r="F17" s="13"/>
      <c r="G17" s="13"/>
      <c r="H17" s="13"/>
      <c r="I17" s="13"/>
    </row>
    <row r="18" spans="1:9" x14ac:dyDescent="0.35">
      <c r="A18" s="4" t="s">
        <v>34</v>
      </c>
      <c r="B18" s="6" t="s">
        <v>29</v>
      </c>
      <c r="C18" s="22">
        <f t="shared" si="1"/>
        <v>0</v>
      </c>
      <c r="D18" s="13"/>
      <c r="E18" s="13"/>
      <c r="F18" s="13"/>
      <c r="G18" s="13"/>
      <c r="H18" s="13"/>
      <c r="I18" s="13"/>
    </row>
    <row r="19" spans="1:9" x14ac:dyDescent="0.35">
      <c r="A19" s="4" t="s">
        <v>35</v>
      </c>
      <c r="B19" s="6" t="s">
        <v>30</v>
      </c>
      <c r="C19" s="22">
        <f t="shared" si="1"/>
        <v>0</v>
      </c>
      <c r="D19" s="13"/>
      <c r="E19" s="13"/>
      <c r="F19" s="13"/>
      <c r="G19" s="13"/>
      <c r="H19" s="13"/>
      <c r="I19" s="13"/>
    </row>
    <row r="20" spans="1:9" x14ac:dyDescent="0.35">
      <c r="A20" s="4" t="s">
        <v>211</v>
      </c>
      <c r="B20" s="6" t="s">
        <v>49</v>
      </c>
      <c r="C20" s="22">
        <f t="shared" si="1"/>
        <v>0</v>
      </c>
      <c r="D20" s="13"/>
      <c r="E20" s="13"/>
      <c r="F20" s="13"/>
      <c r="G20" s="13"/>
      <c r="H20" s="13"/>
      <c r="I20" s="13"/>
    </row>
    <row r="21" spans="1:9" x14ac:dyDescent="0.35">
      <c r="A21" s="4" t="s">
        <v>212</v>
      </c>
      <c r="B21" s="6" t="s">
        <v>214</v>
      </c>
      <c r="C21" s="22">
        <f t="shared" si="1"/>
        <v>0</v>
      </c>
      <c r="D21" s="13"/>
      <c r="E21" s="13"/>
      <c r="F21" s="13"/>
      <c r="G21" s="13"/>
      <c r="H21" s="13"/>
      <c r="I21" s="13"/>
    </row>
    <row r="22" spans="1:9" x14ac:dyDescent="0.35">
      <c r="A22" s="4"/>
      <c r="B22" s="11"/>
      <c r="C22" s="24"/>
      <c r="D22" s="15"/>
      <c r="E22" s="15"/>
      <c r="F22" s="15"/>
      <c r="G22" s="15"/>
      <c r="H22" s="15"/>
      <c r="I22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6"/>
  <sheetViews>
    <sheetView showGridLines="0" topLeftCell="A22" zoomScale="90" zoomScaleNormal="90" workbookViewId="0">
      <selection activeCell="E46" sqref="E46"/>
    </sheetView>
  </sheetViews>
  <sheetFormatPr defaultRowHeight="14.5" outlineLevelRow="1" outlineLevelCol="1" x14ac:dyDescent="0.35"/>
  <cols>
    <col min="1" max="1" width="4.1796875" bestFit="1" customWidth="1"/>
    <col min="2" max="2" width="53" bestFit="1" customWidth="1"/>
    <col min="3" max="3" width="15.26953125" bestFit="1" customWidth="1" outlineLevel="1"/>
    <col min="4" max="4" width="12.81640625" customWidth="1" outlineLevel="1"/>
    <col min="5" max="5" width="13.1796875" bestFit="1" customWidth="1" outlineLevel="1"/>
    <col min="6" max="15" width="12.81640625" customWidth="1" outlineLevel="1"/>
    <col min="16" max="23" width="13.81640625" customWidth="1" outlineLevel="1"/>
    <col min="24" max="24" width="3" customWidth="1"/>
    <col min="25" max="25" width="14.1796875" bestFit="1" customWidth="1"/>
    <col min="26" max="28" width="14.54296875" bestFit="1" customWidth="1"/>
    <col min="29" max="29" width="15.54296875" customWidth="1"/>
  </cols>
  <sheetData>
    <row r="1" spans="1:29" x14ac:dyDescent="0.35">
      <c r="B1" t="s">
        <v>85</v>
      </c>
    </row>
    <row r="2" spans="1:29" ht="21.65" customHeight="1" x14ac:dyDescent="0.35">
      <c r="A2" s="1" t="s">
        <v>0</v>
      </c>
      <c r="B2" s="2" t="s">
        <v>1</v>
      </c>
      <c r="C2" s="2" t="s">
        <v>69</v>
      </c>
      <c r="D2" s="2" t="s">
        <v>276</v>
      </c>
      <c r="E2" s="2" t="s">
        <v>277</v>
      </c>
      <c r="F2" s="2" t="s">
        <v>278</v>
      </c>
      <c r="G2" s="2" t="s">
        <v>279</v>
      </c>
      <c r="H2" s="2" t="s">
        <v>280</v>
      </c>
      <c r="I2" s="2" t="s">
        <v>281</v>
      </c>
      <c r="J2" s="2" t="s">
        <v>282</v>
      </c>
      <c r="K2" s="2" t="s">
        <v>283</v>
      </c>
      <c r="L2" s="2" t="s">
        <v>284</v>
      </c>
      <c r="M2" s="2" t="s">
        <v>285</v>
      </c>
      <c r="N2" s="2" t="s">
        <v>286</v>
      </c>
      <c r="O2" s="2" t="s">
        <v>287</v>
      </c>
      <c r="P2" s="2" t="s">
        <v>288</v>
      </c>
      <c r="Q2" s="2" t="s">
        <v>289</v>
      </c>
      <c r="R2" s="2" t="s">
        <v>290</v>
      </c>
      <c r="S2" s="2" t="s">
        <v>291</v>
      </c>
      <c r="T2" s="2" t="s">
        <v>292</v>
      </c>
      <c r="U2" s="2" t="s">
        <v>293</v>
      </c>
      <c r="V2" s="2" t="s">
        <v>294</v>
      </c>
      <c r="W2" s="2" t="s">
        <v>295</v>
      </c>
      <c r="X2" s="18"/>
      <c r="Y2" s="59" t="s">
        <v>299</v>
      </c>
      <c r="Z2" s="2" t="s">
        <v>300</v>
      </c>
      <c r="AA2" s="59" t="s">
        <v>301</v>
      </c>
      <c r="AB2" s="2" t="s">
        <v>302</v>
      </c>
      <c r="AC2" s="2" t="s">
        <v>303</v>
      </c>
    </row>
    <row r="3" spans="1:29" ht="15.5" x14ac:dyDescent="0.35">
      <c r="A3" s="3" t="s">
        <v>9</v>
      </c>
      <c r="B3" s="56" t="s">
        <v>8</v>
      </c>
      <c r="C3" s="57">
        <f t="shared" ref="C3:W3" si="0">SUM(C4:C21)</f>
        <v>31216852190</v>
      </c>
      <c r="D3" s="50">
        <f t="shared" si="0"/>
        <v>1560842600</v>
      </c>
      <c r="E3" s="50">
        <f t="shared" si="0"/>
        <v>1560842601</v>
      </c>
      <c r="F3" s="50">
        <f t="shared" si="0"/>
        <v>1560842602</v>
      </c>
      <c r="G3" s="50">
        <f t="shared" si="0"/>
        <v>1560842603</v>
      </c>
      <c r="H3" s="50">
        <f t="shared" si="0"/>
        <v>1560842604</v>
      </c>
      <c r="I3" s="50">
        <f t="shared" si="0"/>
        <v>1560842605</v>
      </c>
      <c r="J3" s="50">
        <f t="shared" si="0"/>
        <v>1560842606</v>
      </c>
      <c r="K3" s="50">
        <f t="shared" si="0"/>
        <v>1560842607</v>
      </c>
      <c r="L3" s="50">
        <f t="shared" si="0"/>
        <v>1560842608</v>
      </c>
      <c r="M3" s="50">
        <f t="shared" si="0"/>
        <v>1560842609</v>
      </c>
      <c r="N3" s="50">
        <f t="shared" si="0"/>
        <v>1560842610</v>
      </c>
      <c r="O3" s="50">
        <f t="shared" si="0"/>
        <v>1560842611</v>
      </c>
      <c r="P3" s="50">
        <f t="shared" si="0"/>
        <v>1560842612</v>
      </c>
      <c r="Q3" s="50">
        <f t="shared" si="0"/>
        <v>1560842613</v>
      </c>
      <c r="R3" s="50">
        <f t="shared" si="0"/>
        <v>1560842614</v>
      </c>
      <c r="S3" s="50">
        <f t="shared" si="0"/>
        <v>1560842615</v>
      </c>
      <c r="T3" s="50">
        <f t="shared" si="0"/>
        <v>1560842616</v>
      </c>
      <c r="U3" s="50">
        <f t="shared" si="0"/>
        <v>1560842617</v>
      </c>
      <c r="V3" s="50">
        <f t="shared" si="0"/>
        <v>1560842618</v>
      </c>
      <c r="W3" s="50">
        <f t="shared" si="0"/>
        <v>1560842619</v>
      </c>
      <c r="X3" s="65"/>
      <c r="Y3" s="60">
        <f>SUM(Y4:Y21)</f>
        <v>7804213010</v>
      </c>
      <c r="Z3" s="50">
        <f>SUM(Z4:Z21)</f>
        <v>7804213035</v>
      </c>
      <c r="AA3" s="50">
        <f>SUM(AA4:AA21)</f>
        <v>7804213060</v>
      </c>
      <c r="AB3" s="50">
        <f>SUM(AB4:AB21)</f>
        <v>7804213085</v>
      </c>
      <c r="AC3" s="50">
        <f t="shared" ref="AC3:AC31" si="1">SUM(Y3:AB3)</f>
        <v>31216852190</v>
      </c>
    </row>
    <row r="4" spans="1:29" outlineLevel="1" x14ac:dyDescent="0.35">
      <c r="A4" s="4" t="s">
        <v>10</v>
      </c>
      <c r="B4" s="6" t="s">
        <v>226</v>
      </c>
      <c r="C4" s="22">
        <f t="shared" ref="C4:C21" si="2">SUM(D4:W4)</f>
        <v>400000</v>
      </c>
      <c r="D4" s="13">
        <v>20000</v>
      </c>
      <c r="E4" s="13">
        <v>20000</v>
      </c>
      <c r="F4" s="13">
        <v>20000</v>
      </c>
      <c r="G4" s="13">
        <v>20000</v>
      </c>
      <c r="H4" s="13">
        <v>20000</v>
      </c>
      <c r="I4" s="13">
        <v>20000</v>
      </c>
      <c r="J4" s="13">
        <v>20000</v>
      </c>
      <c r="K4" s="13">
        <v>20000</v>
      </c>
      <c r="L4" s="13">
        <v>20000</v>
      </c>
      <c r="M4" s="13">
        <v>20000</v>
      </c>
      <c r="N4" s="13">
        <v>20000</v>
      </c>
      <c r="O4" s="13">
        <v>20000</v>
      </c>
      <c r="P4" s="13">
        <v>20000</v>
      </c>
      <c r="Q4" s="13">
        <v>20000</v>
      </c>
      <c r="R4" s="13">
        <v>20000</v>
      </c>
      <c r="S4" s="13">
        <v>20000</v>
      </c>
      <c r="T4" s="13">
        <v>20000</v>
      </c>
      <c r="U4" s="13">
        <v>20000</v>
      </c>
      <c r="V4" s="13">
        <v>20000</v>
      </c>
      <c r="W4" s="13">
        <v>20000</v>
      </c>
      <c r="X4" s="67"/>
      <c r="Y4" s="61">
        <f>SUM(D4:H4)</f>
        <v>100000</v>
      </c>
      <c r="Z4" s="61">
        <f>SUM(I4:M4)</f>
        <v>100000</v>
      </c>
      <c r="AA4" s="13">
        <f>SUM(N4:R4)</f>
        <v>100000</v>
      </c>
      <c r="AB4" s="13">
        <f>SUM(S4:W4)</f>
        <v>100000</v>
      </c>
      <c r="AC4" s="13">
        <f t="shared" si="1"/>
        <v>400000</v>
      </c>
    </row>
    <row r="5" spans="1:29" outlineLevel="1" x14ac:dyDescent="0.35">
      <c r="A5" s="4" t="s">
        <v>11</v>
      </c>
      <c r="B5" s="6" t="s">
        <v>270</v>
      </c>
      <c r="C5" s="22">
        <f t="shared" si="2"/>
        <v>36000000</v>
      </c>
      <c r="D5" s="13">
        <f>150000*12</f>
        <v>1800000</v>
      </c>
      <c r="E5" s="13">
        <f t="shared" ref="E5:W5" si="3">150000*12</f>
        <v>1800000</v>
      </c>
      <c r="F5" s="13">
        <f t="shared" si="3"/>
        <v>1800000</v>
      </c>
      <c r="G5" s="13">
        <f t="shared" si="3"/>
        <v>1800000</v>
      </c>
      <c r="H5" s="13">
        <f t="shared" si="3"/>
        <v>1800000</v>
      </c>
      <c r="I5" s="13">
        <f t="shared" si="3"/>
        <v>1800000</v>
      </c>
      <c r="J5" s="13">
        <f t="shared" si="3"/>
        <v>1800000</v>
      </c>
      <c r="K5" s="13">
        <f t="shared" si="3"/>
        <v>1800000</v>
      </c>
      <c r="L5" s="13">
        <f t="shared" si="3"/>
        <v>1800000</v>
      </c>
      <c r="M5" s="13">
        <f t="shared" si="3"/>
        <v>1800000</v>
      </c>
      <c r="N5" s="13">
        <f t="shared" si="3"/>
        <v>1800000</v>
      </c>
      <c r="O5" s="13">
        <f t="shared" si="3"/>
        <v>1800000</v>
      </c>
      <c r="P5" s="13">
        <f t="shared" si="3"/>
        <v>1800000</v>
      </c>
      <c r="Q5" s="13">
        <f t="shared" si="3"/>
        <v>1800000</v>
      </c>
      <c r="R5" s="13">
        <f t="shared" si="3"/>
        <v>1800000</v>
      </c>
      <c r="S5" s="13">
        <f t="shared" si="3"/>
        <v>1800000</v>
      </c>
      <c r="T5" s="13">
        <f t="shared" si="3"/>
        <v>1800000</v>
      </c>
      <c r="U5" s="13">
        <f t="shared" si="3"/>
        <v>1800000</v>
      </c>
      <c r="V5" s="13">
        <f t="shared" si="3"/>
        <v>1800000</v>
      </c>
      <c r="W5" s="13">
        <f t="shared" si="3"/>
        <v>1800000</v>
      </c>
      <c r="X5" s="67"/>
      <c r="Y5" s="61">
        <f>SUM(D5:H5)</f>
        <v>9000000</v>
      </c>
      <c r="Z5" s="61">
        <f t="shared" ref="Z5:Z21" si="4">SUM(I5:M5)</f>
        <v>9000000</v>
      </c>
      <c r="AA5" s="13">
        <f t="shared" ref="AA5:AA21" si="5">SUM(N5:R5)</f>
        <v>9000000</v>
      </c>
      <c r="AB5" s="13">
        <f t="shared" ref="AB5:AB21" si="6">SUM(S5:W5)</f>
        <v>9000000</v>
      </c>
      <c r="AC5" s="13">
        <f t="shared" si="1"/>
        <v>36000000</v>
      </c>
    </row>
    <row r="6" spans="1:29" outlineLevel="1" x14ac:dyDescent="0.35">
      <c r="A6" s="4" t="s">
        <v>12</v>
      </c>
      <c r="B6" s="6" t="s">
        <v>25</v>
      </c>
      <c r="C6" s="22">
        <f t="shared" si="2"/>
        <v>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67"/>
      <c r="Y6" s="61">
        <f t="shared" ref="Y6:Y21" si="7">SUM(D6:H6)</f>
        <v>0</v>
      </c>
      <c r="Z6" s="61">
        <f t="shared" si="4"/>
        <v>0</v>
      </c>
      <c r="AA6" s="13">
        <f t="shared" si="5"/>
        <v>0</v>
      </c>
      <c r="AB6" s="13">
        <f t="shared" si="6"/>
        <v>0</v>
      </c>
      <c r="AC6" s="13">
        <f t="shared" si="1"/>
        <v>0</v>
      </c>
    </row>
    <row r="7" spans="1:29" outlineLevel="1" x14ac:dyDescent="0.35">
      <c r="A7" s="4" t="s">
        <v>13</v>
      </c>
      <c r="B7" s="6" t="s">
        <v>36</v>
      </c>
      <c r="C7" s="22">
        <f t="shared" si="2"/>
        <v>3528000000</v>
      </c>
      <c r="D7" s="13">
        <f>'Штатное расписание'!$F$46*12</f>
        <v>176400000</v>
      </c>
      <c r="E7" s="13">
        <f>'Штатное расписание'!$F$46*12</f>
        <v>176400000</v>
      </c>
      <c r="F7" s="13">
        <f>'Штатное расписание'!$F$46*12</f>
        <v>176400000</v>
      </c>
      <c r="G7" s="13">
        <f>'Штатное расписание'!$F$46*12</f>
        <v>176400000</v>
      </c>
      <c r="H7" s="13">
        <f>'Штатное расписание'!$F$46*12</f>
        <v>176400000</v>
      </c>
      <c r="I7" s="13">
        <f>'Штатное расписание'!$F$46*12</f>
        <v>176400000</v>
      </c>
      <c r="J7" s="13">
        <f>'Штатное расписание'!$F$46*12</f>
        <v>176400000</v>
      </c>
      <c r="K7" s="13">
        <f>'Штатное расписание'!$F$46*12</f>
        <v>176400000</v>
      </c>
      <c r="L7" s="13">
        <f>'Штатное расписание'!$F$46*12</f>
        <v>176400000</v>
      </c>
      <c r="M7" s="13">
        <f>'Штатное расписание'!$F$46*12</f>
        <v>176400000</v>
      </c>
      <c r="N7" s="13">
        <f>'Штатное расписание'!$F$46*12</f>
        <v>176400000</v>
      </c>
      <c r="O7" s="13">
        <f>'Штатное расписание'!$F$46*12</f>
        <v>176400000</v>
      </c>
      <c r="P7" s="13">
        <f>'Штатное расписание'!$F$46*12</f>
        <v>176400000</v>
      </c>
      <c r="Q7" s="13">
        <f>'Штатное расписание'!$F$46*12</f>
        <v>176400000</v>
      </c>
      <c r="R7" s="13">
        <f>'Штатное расписание'!$F$46*12</f>
        <v>176400000</v>
      </c>
      <c r="S7" s="13">
        <f>'Штатное расписание'!$F$46*12</f>
        <v>176400000</v>
      </c>
      <c r="T7" s="13">
        <f>'Штатное расписание'!$F$46*12</f>
        <v>176400000</v>
      </c>
      <c r="U7" s="13">
        <f>'Штатное расписание'!$F$46*12</f>
        <v>176400000</v>
      </c>
      <c r="V7" s="13">
        <f>'Штатное расписание'!$F$46*12</f>
        <v>176400000</v>
      </c>
      <c r="W7" s="13">
        <f>'Штатное расписание'!$F$46*12</f>
        <v>176400000</v>
      </c>
      <c r="X7" s="67"/>
      <c r="Y7" s="61">
        <f t="shared" si="7"/>
        <v>882000000</v>
      </c>
      <c r="Z7" s="61">
        <f t="shared" si="4"/>
        <v>882000000</v>
      </c>
      <c r="AA7" s="13">
        <f t="shared" si="5"/>
        <v>882000000</v>
      </c>
      <c r="AB7" s="13">
        <f t="shared" si="6"/>
        <v>882000000</v>
      </c>
      <c r="AC7" s="13">
        <f t="shared" si="1"/>
        <v>3528000000</v>
      </c>
    </row>
    <row r="8" spans="1:29" outlineLevel="1" x14ac:dyDescent="0.35">
      <c r="A8" s="4" t="s">
        <v>14</v>
      </c>
      <c r="B8" s="6" t="s">
        <v>26</v>
      </c>
      <c r="C8" s="22">
        <f t="shared" si="2"/>
        <v>36000000</v>
      </c>
      <c r="D8" s="13">
        <f>150000*12</f>
        <v>1800000</v>
      </c>
      <c r="E8" s="13">
        <f t="shared" ref="E8:W8" si="8">150000*12</f>
        <v>1800000</v>
      </c>
      <c r="F8" s="13">
        <f t="shared" si="8"/>
        <v>1800000</v>
      </c>
      <c r="G8" s="13">
        <f t="shared" si="8"/>
        <v>1800000</v>
      </c>
      <c r="H8" s="13">
        <f t="shared" si="8"/>
        <v>1800000</v>
      </c>
      <c r="I8" s="13">
        <f t="shared" si="8"/>
        <v>1800000</v>
      </c>
      <c r="J8" s="13">
        <f t="shared" si="8"/>
        <v>1800000</v>
      </c>
      <c r="K8" s="13">
        <f t="shared" si="8"/>
        <v>1800000</v>
      </c>
      <c r="L8" s="13">
        <f t="shared" si="8"/>
        <v>1800000</v>
      </c>
      <c r="M8" s="13">
        <f t="shared" si="8"/>
        <v>1800000</v>
      </c>
      <c r="N8" s="13">
        <f t="shared" si="8"/>
        <v>1800000</v>
      </c>
      <c r="O8" s="13">
        <f t="shared" si="8"/>
        <v>1800000</v>
      </c>
      <c r="P8" s="13">
        <f t="shared" si="8"/>
        <v>1800000</v>
      </c>
      <c r="Q8" s="13">
        <f t="shared" si="8"/>
        <v>1800000</v>
      </c>
      <c r="R8" s="13">
        <f t="shared" si="8"/>
        <v>1800000</v>
      </c>
      <c r="S8" s="13">
        <f t="shared" si="8"/>
        <v>1800000</v>
      </c>
      <c r="T8" s="13">
        <f t="shared" si="8"/>
        <v>1800000</v>
      </c>
      <c r="U8" s="13">
        <f t="shared" si="8"/>
        <v>1800000</v>
      </c>
      <c r="V8" s="13">
        <f t="shared" si="8"/>
        <v>1800000</v>
      </c>
      <c r="W8" s="13">
        <f t="shared" si="8"/>
        <v>1800000</v>
      </c>
      <c r="X8" s="67"/>
      <c r="Y8" s="61">
        <f t="shared" si="7"/>
        <v>9000000</v>
      </c>
      <c r="Z8" s="61">
        <f t="shared" si="4"/>
        <v>9000000</v>
      </c>
      <c r="AA8" s="13">
        <f t="shared" si="5"/>
        <v>9000000</v>
      </c>
      <c r="AB8" s="13">
        <f t="shared" si="6"/>
        <v>9000000</v>
      </c>
      <c r="AC8" s="13">
        <f t="shared" si="1"/>
        <v>36000000</v>
      </c>
    </row>
    <row r="9" spans="1:29" outlineLevel="1" x14ac:dyDescent="0.35">
      <c r="A9" s="4" t="s">
        <v>15</v>
      </c>
      <c r="B9" s="6" t="s">
        <v>86</v>
      </c>
      <c r="C9" s="22">
        <f t="shared" si="2"/>
        <v>16000000</v>
      </c>
      <c r="D9" s="13">
        <v>800000</v>
      </c>
      <c r="E9" s="13">
        <v>800000</v>
      </c>
      <c r="F9" s="13">
        <v>800000</v>
      </c>
      <c r="G9" s="13">
        <v>800000</v>
      </c>
      <c r="H9" s="13">
        <v>800000</v>
      </c>
      <c r="I9" s="13">
        <v>800000</v>
      </c>
      <c r="J9" s="13">
        <v>800000</v>
      </c>
      <c r="K9" s="13">
        <v>800000</v>
      </c>
      <c r="L9" s="13">
        <v>800000</v>
      </c>
      <c r="M9" s="13">
        <v>800000</v>
      </c>
      <c r="N9" s="13">
        <v>800000</v>
      </c>
      <c r="O9" s="13">
        <v>800000</v>
      </c>
      <c r="P9" s="13">
        <v>800000</v>
      </c>
      <c r="Q9" s="13">
        <v>800000</v>
      </c>
      <c r="R9" s="13">
        <v>800000</v>
      </c>
      <c r="S9" s="13">
        <v>800000</v>
      </c>
      <c r="T9" s="13">
        <v>800000</v>
      </c>
      <c r="U9" s="13">
        <v>800000</v>
      </c>
      <c r="V9" s="13">
        <v>800000</v>
      </c>
      <c r="W9" s="13">
        <v>800000</v>
      </c>
      <c r="X9" s="67"/>
      <c r="Y9" s="61">
        <f t="shared" si="7"/>
        <v>4000000</v>
      </c>
      <c r="Z9" s="61">
        <f t="shared" si="4"/>
        <v>4000000</v>
      </c>
      <c r="AA9" s="13">
        <f t="shared" si="5"/>
        <v>4000000</v>
      </c>
      <c r="AB9" s="13">
        <f t="shared" si="6"/>
        <v>4000000</v>
      </c>
      <c r="AC9" s="13">
        <f t="shared" si="1"/>
        <v>16000000</v>
      </c>
    </row>
    <row r="10" spans="1:29" outlineLevel="1" x14ac:dyDescent="0.35">
      <c r="A10" s="4" t="s">
        <v>16</v>
      </c>
      <c r="B10" s="6" t="s">
        <v>269</v>
      </c>
      <c r="C10" s="22">
        <f t="shared" si="2"/>
        <v>8467200000</v>
      </c>
      <c r="D10" s="13">
        <f>D$23/2*12</f>
        <v>423360000</v>
      </c>
      <c r="E10" s="13">
        <f t="shared" ref="E10:W10" si="9">E$23/2*12</f>
        <v>423360000</v>
      </c>
      <c r="F10" s="13">
        <f t="shared" si="9"/>
        <v>423360000</v>
      </c>
      <c r="G10" s="13">
        <f t="shared" si="9"/>
        <v>423360000</v>
      </c>
      <c r="H10" s="13">
        <f t="shared" si="9"/>
        <v>423360000</v>
      </c>
      <c r="I10" s="13">
        <f t="shared" si="9"/>
        <v>423360000</v>
      </c>
      <c r="J10" s="13">
        <f t="shared" si="9"/>
        <v>423360000</v>
      </c>
      <c r="K10" s="13">
        <f t="shared" si="9"/>
        <v>423360000</v>
      </c>
      <c r="L10" s="13">
        <f t="shared" si="9"/>
        <v>423360000</v>
      </c>
      <c r="M10" s="13">
        <f t="shared" si="9"/>
        <v>423360000</v>
      </c>
      <c r="N10" s="13">
        <f t="shared" si="9"/>
        <v>423360000</v>
      </c>
      <c r="O10" s="13">
        <f t="shared" si="9"/>
        <v>423360000</v>
      </c>
      <c r="P10" s="13">
        <f t="shared" si="9"/>
        <v>423360000</v>
      </c>
      <c r="Q10" s="13">
        <f t="shared" si="9"/>
        <v>423360000</v>
      </c>
      <c r="R10" s="13">
        <f t="shared" si="9"/>
        <v>423360000</v>
      </c>
      <c r="S10" s="13">
        <f t="shared" si="9"/>
        <v>423360000</v>
      </c>
      <c r="T10" s="13">
        <f t="shared" si="9"/>
        <v>423360000</v>
      </c>
      <c r="U10" s="13">
        <f t="shared" si="9"/>
        <v>423360000</v>
      </c>
      <c r="V10" s="13">
        <f t="shared" si="9"/>
        <v>423360000</v>
      </c>
      <c r="W10" s="13">
        <f t="shared" si="9"/>
        <v>423360000</v>
      </c>
      <c r="X10" s="67"/>
      <c r="Y10" s="61">
        <f t="shared" si="7"/>
        <v>2116800000</v>
      </c>
      <c r="Z10" s="61">
        <f t="shared" si="4"/>
        <v>2116800000</v>
      </c>
      <c r="AA10" s="13">
        <f t="shared" si="5"/>
        <v>2116800000</v>
      </c>
      <c r="AB10" s="13">
        <f t="shared" si="6"/>
        <v>2116800000</v>
      </c>
      <c r="AC10" s="13">
        <f t="shared" si="1"/>
        <v>8467200000</v>
      </c>
    </row>
    <row r="11" spans="1:29" outlineLevel="1" x14ac:dyDescent="0.35">
      <c r="A11" s="4" t="s">
        <v>17</v>
      </c>
      <c r="B11" s="6" t="s">
        <v>298</v>
      </c>
      <c r="C11" s="22">
        <f t="shared" si="2"/>
        <v>1108110000</v>
      </c>
      <c r="D11" s="13">
        <f>Оборудование!$F$78*0.015</f>
        <v>55405500</v>
      </c>
      <c r="E11" s="13">
        <f>Оборудование!$F$78*0.015</f>
        <v>55405500</v>
      </c>
      <c r="F11" s="13">
        <f>Оборудование!$F$78*0.015</f>
        <v>55405500</v>
      </c>
      <c r="G11" s="13">
        <f>Оборудование!$F$78*0.015</f>
        <v>55405500</v>
      </c>
      <c r="H11" s="13">
        <f>Оборудование!$F$78*0.015</f>
        <v>55405500</v>
      </c>
      <c r="I11" s="13">
        <f>Оборудование!$F$78*0.015</f>
        <v>55405500</v>
      </c>
      <c r="J11" s="13">
        <f>Оборудование!$F$78*0.015</f>
        <v>55405500</v>
      </c>
      <c r="K11" s="13">
        <f>Оборудование!$F$78*0.015</f>
        <v>55405500</v>
      </c>
      <c r="L11" s="13">
        <f>Оборудование!$F$78*0.015</f>
        <v>55405500</v>
      </c>
      <c r="M11" s="13">
        <f>Оборудование!$F$78*0.015</f>
        <v>55405500</v>
      </c>
      <c r="N11" s="13">
        <f>Оборудование!$F$78*0.015</f>
        <v>55405500</v>
      </c>
      <c r="O11" s="13">
        <f>Оборудование!$F$78*0.015</f>
        <v>55405500</v>
      </c>
      <c r="P11" s="13">
        <f>Оборудование!$F$78*0.015</f>
        <v>55405500</v>
      </c>
      <c r="Q11" s="13">
        <f>Оборудование!$F$78*0.015</f>
        <v>55405500</v>
      </c>
      <c r="R11" s="13">
        <f>Оборудование!$F$78*0.015</f>
        <v>55405500</v>
      </c>
      <c r="S11" s="13">
        <f>Оборудование!$F$78*0.015</f>
        <v>55405500</v>
      </c>
      <c r="T11" s="13">
        <f>Оборудование!$F$78*0.015</f>
        <v>55405500</v>
      </c>
      <c r="U11" s="13">
        <f>Оборудование!$F$78*0.015</f>
        <v>55405500</v>
      </c>
      <c r="V11" s="13">
        <f>Оборудование!$F$78*0.015</f>
        <v>55405500</v>
      </c>
      <c r="W11" s="13">
        <f>Оборудование!$F$78*0.015</f>
        <v>55405500</v>
      </c>
      <c r="X11" s="67"/>
      <c r="Y11" s="61">
        <f t="shared" si="7"/>
        <v>277027500</v>
      </c>
      <c r="Z11" s="61">
        <f t="shared" si="4"/>
        <v>277027500</v>
      </c>
      <c r="AA11" s="13">
        <f t="shared" si="5"/>
        <v>277027500</v>
      </c>
      <c r="AB11" s="13">
        <f t="shared" si="6"/>
        <v>277027500</v>
      </c>
      <c r="AC11" s="13">
        <f t="shared" si="1"/>
        <v>1108110000</v>
      </c>
    </row>
    <row r="12" spans="1:29" outlineLevel="1" x14ac:dyDescent="0.35">
      <c r="A12" s="4" t="s">
        <v>18</v>
      </c>
      <c r="B12" s="6" t="s">
        <v>271</v>
      </c>
      <c r="C12" s="22">
        <f t="shared" si="2"/>
        <v>40000000</v>
      </c>
      <c r="D12" s="13">
        <v>2000000</v>
      </c>
      <c r="E12" s="13">
        <v>2000000</v>
      </c>
      <c r="F12" s="13">
        <v>2000000</v>
      </c>
      <c r="G12" s="13">
        <v>2000000</v>
      </c>
      <c r="H12" s="13">
        <v>2000000</v>
      </c>
      <c r="I12" s="13">
        <v>2000000</v>
      </c>
      <c r="J12" s="13">
        <v>2000000</v>
      </c>
      <c r="K12" s="13">
        <v>2000000</v>
      </c>
      <c r="L12" s="13">
        <v>2000000</v>
      </c>
      <c r="M12" s="13">
        <v>2000000</v>
      </c>
      <c r="N12" s="13">
        <v>2000000</v>
      </c>
      <c r="O12" s="13">
        <v>2000000</v>
      </c>
      <c r="P12" s="13">
        <v>2000000</v>
      </c>
      <c r="Q12" s="13">
        <v>2000000</v>
      </c>
      <c r="R12" s="13">
        <v>2000000</v>
      </c>
      <c r="S12" s="13">
        <v>2000000</v>
      </c>
      <c r="T12" s="13">
        <v>2000000</v>
      </c>
      <c r="U12" s="13">
        <v>2000000</v>
      </c>
      <c r="V12" s="13">
        <v>2000000</v>
      </c>
      <c r="W12" s="13">
        <v>2000000</v>
      </c>
      <c r="X12" s="67"/>
      <c r="Y12" s="61">
        <f t="shared" si="7"/>
        <v>10000000</v>
      </c>
      <c r="Z12" s="61">
        <f t="shared" si="4"/>
        <v>10000000</v>
      </c>
      <c r="AA12" s="13">
        <f t="shared" si="5"/>
        <v>10000000</v>
      </c>
      <c r="AB12" s="13">
        <f t="shared" si="6"/>
        <v>10000000</v>
      </c>
      <c r="AC12" s="13">
        <f t="shared" si="1"/>
        <v>40000000</v>
      </c>
    </row>
    <row r="13" spans="1:29" outlineLevel="1" x14ac:dyDescent="0.35">
      <c r="A13" s="4" t="s">
        <v>19</v>
      </c>
      <c r="B13" s="6" t="s">
        <v>52</v>
      </c>
      <c r="C13" s="22">
        <f t="shared" si="2"/>
        <v>886488000</v>
      </c>
      <c r="D13" s="13">
        <f>Оборудование!$F$78*0.012</f>
        <v>44324400</v>
      </c>
      <c r="E13" s="13">
        <f>Оборудование!$F$78*0.012</f>
        <v>44324400</v>
      </c>
      <c r="F13" s="13">
        <f>Оборудование!$F$78*0.012</f>
        <v>44324400</v>
      </c>
      <c r="G13" s="13">
        <f>Оборудование!$F$78*0.012</f>
        <v>44324400</v>
      </c>
      <c r="H13" s="13">
        <f>Оборудование!$F$78*0.012</f>
        <v>44324400</v>
      </c>
      <c r="I13" s="13">
        <f>Оборудование!$F$78*0.012</f>
        <v>44324400</v>
      </c>
      <c r="J13" s="13">
        <f>Оборудование!$F$78*0.012</f>
        <v>44324400</v>
      </c>
      <c r="K13" s="13">
        <f>Оборудование!$F$78*0.012</f>
        <v>44324400</v>
      </c>
      <c r="L13" s="13">
        <f>Оборудование!$F$78*0.012</f>
        <v>44324400</v>
      </c>
      <c r="M13" s="13">
        <f>Оборудование!$F$78*0.012</f>
        <v>44324400</v>
      </c>
      <c r="N13" s="13">
        <f>Оборудование!$F$78*0.012</f>
        <v>44324400</v>
      </c>
      <c r="O13" s="13">
        <f>Оборудование!$F$78*0.012</f>
        <v>44324400</v>
      </c>
      <c r="P13" s="13">
        <f>Оборудование!$F$78*0.012</f>
        <v>44324400</v>
      </c>
      <c r="Q13" s="13">
        <f>Оборудование!$F$78*0.012</f>
        <v>44324400</v>
      </c>
      <c r="R13" s="13">
        <f>Оборудование!$F$78*0.012</f>
        <v>44324400</v>
      </c>
      <c r="S13" s="13">
        <f>Оборудование!$F$78*0.012</f>
        <v>44324400</v>
      </c>
      <c r="T13" s="13">
        <f>Оборудование!$F$78*0.012</f>
        <v>44324400</v>
      </c>
      <c r="U13" s="13">
        <f>Оборудование!$F$78*0.012</f>
        <v>44324400</v>
      </c>
      <c r="V13" s="13">
        <f>Оборудование!$F$78*0.012</f>
        <v>44324400</v>
      </c>
      <c r="W13" s="13">
        <f>Оборудование!$F$78*0.012</f>
        <v>44324400</v>
      </c>
      <c r="X13" s="67"/>
      <c r="Y13" s="61">
        <f t="shared" si="7"/>
        <v>221622000</v>
      </c>
      <c r="Z13" s="61">
        <f t="shared" si="4"/>
        <v>221622000</v>
      </c>
      <c r="AA13" s="13">
        <f t="shared" si="5"/>
        <v>221622000</v>
      </c>
      <c r="AB13" s="13">
        <f t="shared" si="6"/>
        <v>221622000</v>
      </c>
      <c r="AC13" s="13">
        <f t="shared" si="1"/>
        <v>886488000</v>
      </c>
    </row>
    <row r="14" spans="1:29" outlineLevel="1" x14ac:dyDescent="0.35">
      <c r="A14" s="4" t="s">
        <v>20</v>
      </c>
      <c r="B14" s="6" t="s">
        <v>53</v>
      </c>
      <c r="C14" s="22">
        <f t="shared" si="2"/>
        <v>4231584000</v>
      </c>
      <c r="D14" s="13">
        <f>D$22*0.01*12</f>
        <v>211579200</v>
      </c>
      <c r="E14" s="13">
        <f t="shared" ref="E14:W14" si="10">E$22*0.01*12</f>
        <v>211579200</v>
      </c>
      <c r="F14" s="13">
        <f t="shared" si="10"/>
        <v>211579200</v>
      </c>
      <c r="G14" s="13">
        <f t="shared" si="10"/>
        <v>211579200</v>
      </c>
      <c r="H14" s="13">
        <f t="shared" si="10"/>
        <v>211579200</v>
      </c>
      <c r="I14" s="13">
        <f t="shared" si="10"/>
        <v>211579200</v>
      </c>
      <c r="J14" s="13">
        <f t="shared" si="10"/>
        <v>211579200</v>
      </c>
      <c r="K14" s="13">
        <f t="shared" si="10"/>
        <v>211579200</v>
      </c>
      <c r="L14" s="13">
        <f t="shared" si="10"/>
        <v>211579200</v>
      </c>
      <c r="M14" s="13">
        <f t="shared" si="10"/>
        <v>211579200</v>
      </c>
      <c r="N14" s="13">
        <f t="shared" si="10"/>
        <v>211579200</v>
      </c>
      <c r="O14" s="13">
        <f t="shared" si="10"/>
        <v>211579200</v>
      </c>
      <c r="P14" s="13">
        <f t="shared" si="10"/>
        <v>211579200</v>
      </c>
      <c r="Q14" s="13">
        <f t="shared" si="10"/>
        <v>211579200</v>
      </c>
      <c r="R14" s="13">
        <f t="shared" si="10"/>
        <v>211579200</v>
      </c>
      <c r="S14" s="13">
        <f t="shared" si="10"/>
        <v>211579200</v>
      </c>
      <c r="T14" s="13">
        <f t="shared" si="10"/>
        <v>211579200</v>
      </c>
      <c r="U14" s="13">
        <f t="shared" si="10"/>
        <v>211579200</v>
      </c>
      <c r="V14" s="13">
        <f t="shared" si="10"/>
        <v>211579200</v>
      </c>
      <c r="W14" s="13">
        <f t="shared" si="10"/>
        <v>211579200</v>
      </c>
      <c r="X14" s="67"/>
      <c r="Y14" s="61">
        <f t="shared" si="7"/>
        <v>1057896000</v>
      </c>
      <c r="Z14" s="61">
        <f t="shared" si="4"/>
        <v>1057896000</v>
      </c>
      <c r="AA14" s="13">
        <f t="shared" si="5"/>
        <v>1057896000</v>
      </c>
      <c r="AB14" s="13">
        <f t="shared" si="6"/>
        <v>1057896000</v>
      </c>
      <c r="AC14" s="13">
        <f t="shared" si="1"/>
        <v>4231584000</v>
      </c>
    </row>
    <row r="15" spans="1:29" outlineLevel="1" x14ac:dyDescent="0.35">
      <c r="A15" s="4" t="s">
        <v>21</v>
      </c>
      <c r="B15" s="6" t="s">
        <v>55</v>
      </c>
      <c r="C15" s="22">
        <f t="shared" si="2"/>
        <v>40000000</v>
      </c>
      <c r="D15" s="13">
        <v>2000000</v>
      </c>
      <c r="E15" s="13">
        <v>2000000</v>
      </c>
      <c r="F15" s="13">
        <v>2000000</v>
      </c>
      <c r="G15" s="13">
        <v>2000000</v>
      </c>
      <c r="H15" s="13">
        <v>2000000</v>
      </c>
      <c r="I15" s="13">
        <v>2000000</v>
      </c>
      <c r="J15" s="13">
        <v>2000000</v>
      </c>
      <c r="K15" s="13">
        <v>2000000</v>
      </c>
      <c r="L15" s="13">
        <v>2000000</v>
      </c>
      <c r="M15" s="13">
        <v>2000000</v>
      </c>
      <c r="N15" s="13">
        <v>2000000</v>
      </c>
      <c r="O15" s="13">
        <v>2000000</v>
      </c>
      <c r="P15" s="13">
        <v>2000000</v>
      </c>
      <c r="Q15" s="13">
        <v>2000000</v>
      </c>
      <c r="R15" s="13">
        <v>2000000</v>
      </c>
      <c r="S15" s="13">
        <v>2000000</v>
      </c>
      <c r="T15" s="13">
        <v>2000000</v>
      </c>
      <c r="U15" s="13">
        <v>2000000</v>
      </c>
      <c r="V15" s="13">
        <v>2000000</v>
      </c>
      <c r="W15" s="13">
        <v>2000000</v>
      </c>
      <c r="X15" s="67"/>
      <c r="Y15" s="61">
        <f t="shared" si="7"/>
        <v>10000000</v>
      </c>
      <c r="Z15" s="61">
        <f t="shared" si="4"/>
        <v>10000000</v>
      </c>
      <c r="AA15" s="13">
        <f t="shared" si="5"/>
        <v>10000000</v>
      </c>
      <c r="AB15" s="13">
        <f t="shared" si="6"/>
        <v>10000000</v>
      </c>
      <c r="AC15" s="13">
        <f t="shared" si="1"/>
        <v>40000000</v>
      </c>
    </row>
    <row r="16" spans="1:29" outlineLevel="1" x14ac:dyDescent="0.35">
      <c r="A16" s="4" t="s">
        <v>31</v>
      </c>
      <c r="B16" s="6" t="s">
        <v>258</v>
      </c>
      <c r="C16" s="22">
        <f t="shared" si="2"/>
        <v>960000000</v>
      </c>
      <c r="D16" s="13">
        <f>4000000*12</f>
        <v>48000000</v>
      </c>
      <c r="E16" s="13">
        <f t="shared" ref="E16:W16" si="11">4000000*12</f>
        <v>48000000</v>
      </c>
      <c r="F16" s="13">
        <f t="shared" si="11"/>
        <v>48000000</v>
      </c>
      <c r="G16" s="13">
        <f t="shared" si="11"/>
        <v>48000000</v>
      </c>
      <c r="H16" s="13">
        <f t="shared" si="11"/>
        <v>48000000</v>
      </c>
      <c r="I16" s="13">
        <f t="shared" si="11"/>
        <v>48000000</v>
      </c>
      <c r="J16" s="13">
        <f t="shared" si="11"/>
        <v>48000000</v>
      </c>
      <c r="K16" s="13">
        <f t="shared" si="11"/>
        <v>48000000</v>
      </c>
      <c r="L16" s="13">
        <f t="shared" si="11"/>
        <v>48000000</v>
      </c>
      <c r="M16" s="13">
        <f t="shared" si="11"/>
        <v>48000000</v>
      </c>
      <c r="N16" s="13">
        <f t="shared" si="11"/>
        <v>48000000</v>
      </c>
      <c r="O16" s="13">
        <f t="shared" si="11"/>
        <v>48000000</v>
      </c>
      <c r="P16" s="13">
        <f t="shared" si="11"/>
        <v>48000000</v>
      </c>
      <c r="Q16" s="13">
        <f t="shared" si="11"/>
        <v>48000000</v>
      </c>
      <c r="R16" s="13">
        <f t="shared" si="11"/>
        <v>48000000</v>
      </c>
      <c r="S16" s="13">
        <f t="shared" si="11"/>
        <v>48000000</v>
      </c>
      <c r="T16" s="13">
        <f t="shared" si="11"/>
        <v>48000000</v>
      </c>
      <c r="U16" s="13">
        <f t="shared" si="11"/>
        <v>48000000</v>
      </c>
      <c r="V16" s="13">
        <f t="shared" si="11"/>
        <v>48000000</v>
      </c>
      <c r="W16" s="13">
        <f t="shared" si="11"/>
        <v>48000000</v>
      </c>
      <c r="X16" s="67"/>
      <c r="Y16" s="61">
        <f t="shared" si="7"/>
        <v>240000000</v>
      </c>
      <c r="Z16" s="61">
        <f t="shared" si="4"/>
        <v>240000000</v>
      </c>
      <c r="AA16" s="13">
        <f t="shared" si="5"/>
        <v>240000000</v>
      </c>
      <c r="AB16" s="13">
        <f t="shared" si="6"/>
        <v>240000000</v>
      </c>
      <c r="AC16" s="13">
        <f t="shared" si="1"/>
        <v>960000000</v>
      </c>
    </row>
    <row r="17" spans="1:29" outlineLevel="1" x14ac:dyDescent="0.35">
      <c r="A17" s="4" t="s">
        <v>32</v>
      </c>
      <c r="B17" s="6" t="s">
        <v>132</v>
      </c>
      <c r="C17" s="22">
        <f t="shared" si="2"/>
        <v>160000000</v>
      </c>
      <c r="D17" s="13">
        <v>8000000</v>
      </c>
      <c r="E17" s="13">
        <v>8000000</v>
      </c>
      <c r="F17" s="13">
        <v>8000000</v>
      </c>
      <c r="G17" s="13">
        <v>8000000</v>
      </c>
      <c r="H17" s="13">
        <v>8000000</v>
      </c>
      <c r="I17" s="13">
        <v>8000000</v>
      </c>
      <c r="J17" s="13">
        <v>8000000</v>
      </c>
      <c r="K17" s="13">
        <v>8000000</v>
      </c>
      <c r="L17" s="13">
        <v>8000000</v>
      </c>
      <c r="M17" s="13">
        <v>8000000</v>
      </c>
      <c r="N17" s="13">
        <v>8000000</v>
      </c>
      <c r="O17" s="13">
        <v>8000000</v>
      </c>
      <c r="P17" s="13">
        <v>8000000</v>
      </c>
      <c r="Q17" s="13">
        <v>8000000</v>
      </c>
      <c r="R17" s="13">
        <v>8000000</v>
      </c>
      <c r="S17" s="13">
        <v>8000000</v>
      </c>
      <c r="T17" s="13">
        <v>8000000</v>
      </c>
      <c r="U17" s="13">
        <v>8000000</v>
      </c>
      <c r="V17" s="13">
        <v>8000000</v>
      </c>
      <c r="W17" s="13">
        <v>8000000</v>
      </c>
      <c r="X17" s="67"/>
      <c r="Y17" s="61">
        <f t="shared" si="7"/>
        <v>40000000</v>
      </c>
      <c r="Z17" s="61">
        <f t="shared" si="4"/>
        <v>40000000</v>
      </c>
      <c r="AA17" s="13">
        <f t="shared" si="5"/>
        <v>40000000</v>
      </c>
      <c r="AB17" s="13">
        <f>SUM(S17:W17)</f>
        <v>40000000</v>
      </c>
      <c r="AC17" s="13">
        <f t="shared" si="1"/>
        <v>160000000</v>
      </c>
    </row>
    <row r="18" spans="1:29" outlineLevel="1" x14ac:dyDescent="0.35">
      <c r="A18" s="4" t="s">
        <v>33</v>
      </c>
      <c r="B18" s="6" t="s">
        <v>165</v>
      </c>
      <c r="C18" s="22">
        <f t="shared" si="2"/>
        <v>738740000</v>
      </c>
      <c r="D18" s="13">
        <f>Оборудование!$F$78*0.01</f>
        <v>36937000</v>
      </c>
      <c r="E18" s="13">
        <f>Оборудование!$F$78*0.01</f>
        <v>36937000</v>
      </c>
      <c r="F18" s="13">
        <f>Оборудование!$F$78*0.01</f>
        <v>36937000</v>
      </c>
      <c r="G18" s="13">
        <f>Оборудование!$F$78*0.01</f>
        <v>36937000</v>
      </c>
      <c r="H18" s="13">
        <f>Оборудование!$F$78*0.01</f>
        <v>36937000</v>
      </c>
      <c r="I18" s="13">
        <f>Оборудование!$F$78*0.01</f>
        <v>36937000</v>
      </c>
      <c r="J18" s="13">
        <f>Оборудование!$F$78*0.01</f>
        <v>36937000</v>
      </c>
      <c r="K18" s="13">
        <f>Оборудование!$F$78*0.01</f>
        <v>36937000</v>
      </c>
      <c r="L18" s="13">
        <f>Оборудование!$F$78*0.01</f>
        <v>36937000</v>
      </c>
      <c r="M18" s="13">
        <f>Оборудование!$F$78*0.01</f>
        <v>36937000</v>
      </c>
      <c r="N18" s="13">
        <f>Оборудование!$F$78*0.01</f>
        <v>36937000</v>
      </c>
      <c r="O18" s="13">
        <f>Оборудование!$F$78*0.01</f>
        <v>36937000</v>
      </c>
      <c r="P18" s="13">
        <f>Оборудование!$F$78*0.01</f>
        <v>36937000</v>
      </c>
      <c r="Q18" s="13">
        <f>Оборудование!$F$78*0.01</f>
        <v>36937000</v>
      </c>
      <c r="R18" s="13">
        <f>Оборудование!$F$78*0.01</f>
        <v>36937000</v>
      </c>
      <c r="S18" s="13">
        <f>Оборудование!$F$78*0.01</f>
        <v>36937000</v>
      </c>
      <c r="T18" s="13">
        <f>Оборудование!$F$78*0.01</f>
        <v>36937000</v>
      </c>
      <c r="U18" s="13">
        <f>Оборудование!$F$78*0.01</f>
        <v>36937000</v>
      </c>
      <c r="V18" s="13">
        <f>Оборудование!$F$78*0.01</f>
        <v>36937000</v>
      </c>
      <c r="W18" s="13">
        <f>Оборудование!$F$78*0.01</f>
        <v>36937000</v>
      </c>
      <c r="X18" s="67"/>
      <c r="Y18" s="61">
        <f t="shared" si="7"/>
        <v>184685000</v>
      </c>
      <c r="Z18" s="61">
        <f t="shared" si="4"/>
        <v>184685000</v>
      </c>
      <c r="AA18" s="13">
        <f t="shared" si="5"/>
        <v>184685000</v>
      </c>
      <c r="AB18" s="13">
        <f t="shared" si="6"/>
        <v>184685000</v>
      </c>
      <c r="AC18" s="13">
        <f t="shared" si="1"/>
        <v>738740000</v>
      </c>
    </row>
    <row r="19" spans="1:29" outlineLevel="1" x14ac:dyDescent="0.35">
      <c r="A19" s="4" t="s">
        <v>34</v>
      </c>
      <c r="B19" s="6" t="s">
        <v>209</v>
      </c>
      <c r="C19" s="22">
        <f t="shared" si="2"/>
        <v>369370000</v>
      </c>
      <c r="D19" s="13">
        <f>Оборудование!$F$78*0.005</f>
        <v>18468500</v>
      </c>
      <c r="E19" s="13">
        <f>Оборудование!$F$78*0.005</f>
        <v>18468500</v>
      </c>
      <c r="F19" s="13">
        <f>Оборудование!$F$78*0.005</f>
        <v>18468500</v>
      </c>
      <c r="G19" s="13">
        <f>Оборудование!$F$78*0.005</f>
        <v>18468500</v>
      </c>
      <c r="H19" s="13">
        <f>Оборудование!$F$78*0.005</f>
        <v>18468500</v>
      </c>
      <c r="I19" s="13">
        <f>Оборудование!$F$78*0.005</f>
        <v>18468500</v>
      </c>
      <c r="J19" s="13">
        <f>Оборудование!$F$78*0.005</f>
        <v>18468500</v>
      </c>
      <c r="K19" s="13">
        <f>Оборудование!$F$78*0.005</f>
        <v>18468500</v>
      </c>
      <c r="L19" s="13">
        <f>Оборудование!$F$78*0.005</f>
        <v>18468500</v>
      </c>
      <c r="M19" s="13">
        <f>Оборудование!$F$78*0.005</f>
        <v>18468500</v>
      </c>
      <c r="N19" s="13">
        <f>Оборудование!$F$78*0.005</f>
        <v>18468500</v>
      </c>
      <c r="O19" s="13">
        <f>Оборудование!$F$78*0.005</f>
        <v>18468500</v>
      </c>
      <c r="P19" s="13">
        <f>Оборудование!$F$78*0.005</f>
        <v>18468500</v>
      </c>
      <c r="Q19" s="13">
        <f>Оборудование!$F$78*0.005</f>
        <v>18468500</v>
      </c>
      <c r="R19" s="13">
        <f>Оборудование!$F$78*0.005</f>
        <v>18468500</v>
      </c>
      <c r="S19" s="13">
        <f>Оборудование!$F$78*0.005</f>
        <v>18468500</v>
      </c>
      <c r="T19" s="13">
        <f>Оборудование!$F$78*0.005</f>
        <v>18468500</v>
      </c>
      <c r="U19" s="13">
        <f>Оборудование!$F$78*0.005</f>
        <v>18468500</v>
      </c>
      <c r="V19" s="13">
        <f>Оборудование!$F$78*0.005</f>
        <v>18468500</v>
      </c>
      <c r="W19" s="13">
        <f>Оборудование!$F$78*0.005</f>
        <v>18468500</v>
      </c>
      <c r="X19" s="67"/>
      <c r="Y19" s="61">
        <f t="shared" si="7"/>
        <v>92342500</v>
      </c>
      <c r="Z19" s="61">
        <f t="shared" si="4"/>
        <v>92342500</v>
      </c>
      <c r="AA19" s="13">
        <f t="shared" si="5"/>
        <v>92342500</v>
      </c>
      <c r="AB19" s="13">
        <f t="shared" si="6"/>
        <v>92342500</v>
      </c>
      <c r="AC19" s="13">
        <f t="shared" si="1"/>
        <v>369370000</v>
      </c>
    </row>
    <row r="20" spans="1:29" ht="12.65" customHeight="1" outlineLevel="1" x14ac:dyDescent="0.35">
      <c r="A20" s="4" t="s">
        <v>35</v>
      </c>
      <c r="B20" s="6" t="s">
        <v>297</v>
      </c>
      <c r="C20" s="22">
        <f t="shared" si="2"/>
        <v>10578960000</v>
      </c>
      <c r="D20" s="13">
        <f>D22*0.3</f>
        <v>528948000</v>
      </c>
      <c r="E20" s="13">
        <f t="shared" ref="E20:W20" si="12">E22*0.3</f>
        <v>528948000</v>
      </c>
      <c r="F20" s="13">
        <f t="shared" si="12"/>
        <v>528948000</v>
      </c>
      <c r="G20" s="13">
        <f t="shared" si="12"/>
        <v>528948000</v>
      </c>
      <c r="H20" s="13">
        <f t="shared" si="12"/>
        <v>528948000</v>
      </c>
      <c r="I20" s="13">
        <f t="shared" si="12"/>
        <v>528948000</v>
      </c>
      <c r="J20" s="13">
        <f t="shared" si="12"/>
        <v>528948000</v>
      </c>
      <c r="K20" s="13">
        <f t="shared" si="12"/>
        <v>528948000</v>
      </c>
      <c r="L20" s="13">
        <f t="shared" si="12"/>
        <v>528948000</v>
      </c>
      <c r="M20" s="13">
        <f t="shared" si="12"/>
        <v>528948000</v>
      </c>
      <c r="N20" s="13">
        <f t="shared" si="12"/>
        <v>528948000</v>
      </c>
      <c r="O20" s="13">
        <f t="shared" si="12"/>
        <v>528948000</v>
      </c>
      <c r="P20" s="13">
        <f t="shared" si="12"/>
        <v>528948000</v>
      </c>
      <c r="Q20" s="13">
        <f t="shared" si="12"/>
        <v>528948000</v>
      </c>
      <c r="R20" s="13">
        <f t="shared" si="12"/>
        <v>528948000</v>
      </c>
      <c r="S20" s="13">
        <f t="shared" si="12"/>
        <v>528948000</v>
      </c>
      <c r="T20" s="13">
        <f t="shared" si="12"/>
        <v>528948000</v>
      </c>
      <c r="U20" s="13">
        <f t="shared" si="12"/>
        <v>528948000</v>
      </c>
      <c r="V20" s="13">
        <f t="shared" si="12"/>
        <v>528948000</v>
      </c>
      <c r="W20" s="13">
        <f t="shared" si="12"/>
        <v>528948000</v>
      </c>
      <c r="X20" s="67"/>
      <c r="Y20" s="61">
        <f t="shared" si="7"/>
        <v>2644740000</v>
      </c>
      <c r="Z20" s="61">
        <f t="shared" si="4"/>
        <v>2644740000</v>
      </c>
      <c r="AA20" s="13">
        <f t="shared" si="5"/>
        <v>2644740000</v>
      </c>
      <c r="AB20" s="13">
        <f t="shared" si="6"/>
        <v>2644740000</v>
      </c>
      <c r="AC20" s="13">
        <f t="shared" si="1"/>
        <v>10578960000</v>
      </c>
    </row>
    <row r="21" spans="1:29" outlineLevel="1" x14ac:dyDescent="0.35">
      <c r="A21" s="4" t="s">
        <v>212</v>
      </c>
      <c r="B21" s="6" t="s">
        <v>48</v>
      </c>
      <c r="C21" s="22">
        <f t="shared" si="2"/>
        <v>20000190</v>
      </c>
      <c r="D21" s="13">
        <v>1000000</v>
      </c>
      <c r="E21" s="13">
        <v>1000001</v>
      </c>
      <c r="F21" s="13">
        <v>1000002</v>
      </c>
      <c r="G21" s="13">
        <v>1000003</v>
      </c>
      <c r="H21" s="13">
        <v>1000004</v>
      </c>
      <c r="I21" s="13">
        <v>1000005</v>
      </c>
      <c r="J21" s="13">
        <v>1000006</v>
      </c>
      <c r="K21" s="13">
        <v>1000007</v>
      </c>
      <c r="L21" s="13">
        <v>1000008</v>
      </c>
      <c r="M21" s="13">
        <v>1000009</v>
      </c>
      <c r="N21" s="13">
        <v>1000010</v>
      </c>
      <c r="O21" s="13">
        <v>1000011</v>
      </c>
      <c r="P21" s="13">
        <v>1000012</v>
      </c>
      <c r="Q21" s="13">
        <v>1000013</v>
      </c>
      <c r="R21" s="13">
        <v>1000014</v>
      </c>
      <c r="S21" s="13">
        <v>1000015</v>
      </c>
      <c r="T21" s="13">
        <v>1000016</v>
      </c>
      <c r="U21" s="13">
        <v>1000017</v>
      </c>
      <c r="V21" s="13">
        <v>1000018</v>
      </c>
      <c r="W21" s="13">
        <v>1000019</v>
      </c>
      <c r="X21" s="67"/>
      <c r="Y21" s="61">
        <f t="shared" si="7"/>
        <v>5000010</v>
      </c>
      <c r="Z21" s="61">
        <f t="shared" si="4"/>
        <v>5000035</v>
      </c>
      <c r="AA21" s="13">
        <f t="shared" si="5"/>
        <v>5000060</v>
      </c>
      <c r="AB21" s="13">
        <f t="shared" si="6"/>
        <v>5000085</v>
      </c>
      <c r="AC21" s="13">
        <f t="shared" si="1"/>
        <v>20000190</v>
      </c>
    </row>
    <row r="22" spans="1:29" ht="15.5" x14ac:dyDescent="0.35">
      <c r="A22" s="3" t="s">
        <v>37</v>
      </c>
      <c r="B22" s="8" t="s">
        <v>38</v>
      </c>
      <c r="C22" s="23">
        <f>SUM(C23:C32)</f>
        <v>35263200000</v>
      </c>
      <c r="D22" s="14">
        <f t="shared" ref="D22:W22" si="13">SUM(D23:D32)</f>
        <v>1763160000</v>
      </c>
      <c r="E22" s="14">
        <f t="shared" si="13"/>
        <v>1763160000</v>
      </c>
      <c r="F22" s="14">
        <f t="shared" si="13"/>
        <v>1763160000</v>
      </c>
      <c r="G22" s="14">
        <f t="shared" si="13"/>
        <v>1763160000</v>
      </c>
      <c r="H22" s="14">
        <f t="shared" si="13"/>
        <v>1763160000</v>
      </c>
      <c r="I22" s="14">
        <f t="shared" si="13"/>
        <v>1763160000</v>
      </c>
      <c r="J22" s="14">
        <f t="shared" si="13"/>
        <v>1763160000</v>
      </c>
      <c r="K22" s="14">
        <f t="shared" si="13"/>
        <v>1763160000</v>
      </c>
      <c r="L22" s="14">
        <f t="shared" si="13"/>
        <v>1763160000</v>
      </c>
      <c r="M22" s="14">
        <f t="shared" si="13"/>
        <v>1763160000</v>
      </c>
      <c r="N22" s="14">
        <f t="shared" si="13"/>
        <v>1763160000</v>
      </c>
      <c r="O22" s="14">
        <f t="shared" si="13"/>
        <v>1763160000</v>
      </c>
      <c r="P22" s="14">
        <f t="shared" si="13"/>
        <v>1763160000</v>
      </c>
      <c r="Q22" s="14">
        <f t="shared" si="13"/>
        <v>1763160000</v>
      </c>
      <c r="R22" s="14">
        <f t="shared" si="13"/>
        <v>1763160000</v>
      </c>
      <c r="S22" s="14">
        <f t="shared" si="13"/>
        <v>1763160000</v>
      </c>
      <c r="T22" s="14">
        <f t="shared" ref="T22:U22" si="14">SUM(T23:T32)</f>
        <v>1763160000</v>
      </c>
      <c r="U22" s="14">
        <f t="shared" si="14"/>
        <v>1763160000</v>
      </c>
      <c r="V22" s="14">
        <f t="shared" si="13"/>
        <v>1763160000</v>
      </c>
      <c r="W22" s="14">
        <f t="shared" si="13"/>
        <v>1763160000</v>
      </c>
      <c r="X22" s="67"/>
      <c r="Y22" s="62">
        <f t="shared" ref="Y22:AB22" si="15">SUM(Y23:Y32)</f>
        <v>8815800000</v>
      </c>
      <c r="Z22" s="14">
        <f t="shared" si="15"/>
        <v>8815800000</v>
      </c>
      <c r="AA22" s="14">
        <f t="shared" si="15"/>
        <v>8815800000</v>
      </c>
      <c r="AB22" s="14">
        <f t="shared" si="15"/>
        <v>8815800000</v>
      </c>
      <c r="AC22" s="14">
        <f t="shared" si="1"/>
        <v>35263200000</v>
      </c>
    </row>
    <row r="23" spans="1:29" outlineLevel="1" x14ac:dyDescent="0.35">
      <c r="A23" s="4" t="s">
        <v>57</v>
      </c>
      <c r="B23" s="11" t="s">
        <v>46</v>
      </c>
      <c r="C23" s="24">
        <f t="shared" ref="C23:C32" si="16">SUM(D23:W23)</f>
        <v>1411200000</v>
      </c>
      <c r="D23" s="15">
        <f>Продукция!$I$3*12</f>
        <v>70560000</v>
      </c>
      <c r="E23" s="15">
        <f>Продукция!$I$3*12</f>
        <v>70560000</v>
      </c>
      <c r="F23" s="15">
        <f>Продукция!$I$3*12</f>
        <v>70560000</v>
      </c>
      <c r="G23" s="15">
        <f>Продукция!$I$3*12</f>
        <v>70560000</v>
      </c>
      <c r="H23" s="15">
        <f>Продукция!$I$3*12</f>
        <v>70560000</v>
      </c>
      <c r="I23" s="15">
        <f>Продукция!$I$3*12</f>
        <v>70560000</v>
      </c>
      <c r="J23" s="15">
        <f>Продукция!$I$3*12</f>
        <v>70560000</v>
      </c>
      <c r="K23" s="15">
        <f>Продукция!$I$3*12</f>
        <v>70560000</v>
      </c>
      <c r="L23" s="15">
        <f>Продукция!$I$3*12</f>
        <v>70560000</v>
      </c>
      <c r="M23" s="15">
        <f>Продукция!$I$3*12</f>
        <v>70560000</v>
      </c>
      <c r="N23" s="15">
        <f>Продукция!$I$3*12</f>
        <v>70560000</v>
      </c>
      <c r="O23" s="15">
        <f>Продукция!$I$3*12</f>
        <v>70560000</v>
      </c>
      <c r="P23" s="15">
        <f>Продукция!$I$3*12</f>
        <v>70560000</v>
      </c>
      <c r="Q23" s="15">
        <f>Продукция!$I$3*12</f>
        <v>70560000</v>
      </c>
      <c r="R23" s="15">
        <f>Продукция!$I$3*12</f>
        <v>70560000</v>
      </c>
      <c r="S23" s="15">
        <f>Продукция!$I$3*12</f>
        <v>70560000</v>
      </c>
      <c r="T23" s="15">
        <f>Продукция!$I$3*12</f>
        <v>70560000</v>
      </c>
      <c r="U23" s="15">
        <f>Продукция!$I$3*12</f>
        <v>70560000</v>
      </c>
      <c r="V23" s="15">
        <f>Продукция!$I$3*12</f>
        <v>70560000</v>
      </c>
      <c r="W23" s="15">
        <f>Продукция!$I$3*12</f>
        <v>70560000</v>
      </c>
      <c r="X23" s="67"/>
      <c r="Y23" s="63">
        <f>SUM(D23:H23)</f>
        <v>352800000</v>
      </c>
      <c r="Z23" s="63">
        <f>SUM(I23:M23)</f>
        <v>352800000</v>
      </c>
      <c r="AA23" s="63">
        <f>SUM(N23:R23)</f>
        <v>352800000</v>
      </c>
      <c r="AB23" s="63">
        <f>SUM(S23:W23)</f>
        <v>352800000</v>
      </c>
      <c r="AC23" s="15">
        <f t="shared" si="1"/>
        <v>1411200000</v>
      </c>
    </row>
    <row r="24" spans="1:29" outlineLevel="1" x14ac:dyDescent="0.35">
      <c r="A24" s="4" t="s">
        <v>58</v>
      </c>
      <c r="B24" s="11" t="s">
        <v>257</v>
      </c>
      <c r="C24" s="24">
        <f t="shared" si="16"/>
        <v>25872000000</v>
      </c>
      <c r="D24" s="15">
        <f>Продукция!$I$4*12</f>
        <v>1293600000</v>
      </c>
      <c r="E24" s="15">
        <f>Продукция!$I$4*12</f>
        <v>1293600000</v>
      </c>
      <c r="F24" s="15">
        <f>Продукция!$I$4*12</f>
        <v>1293600000</v>
      </c>
      <c r="G24" s="15">
        <f>Продукция!$I$4*12</f>
        <v>1293600000</v>
      </c>
      <c r="H24" s="15">
        <f>Продукция!$I$4*12</f>
        <v>1293600000</v>
      </c>
      <c r="I24" s="15">
        <f>Продукция!$I$4*12</f>
        <v>1293600000</v>
      </c>
      <c r="J24" s="15">
        <f>Продукция!$I$4*12</f>
        <v>1293600000</v>
      </c>
      <c r="K24" s="15">
        <f>Продукция!$I$4*12</f>
        <v>1293600000</v>
      </c>
      <c r="L24" s="15">
        <f>Продукция!$I$4*12</f>
        <v>1293600000</v>
      </c>
      <c r="M24" s="15">
        <f>Продукция!$I$4*12</f>
        <v>1293600000</v>
      </c>
      <c r="N24" s="15">
        <f>Продукция!$I$4*12</f>
        <v>1293600000</v>
      </c>
      <c r="O24" s="15">
        <f>Продукция!$I$4*12</f>
        <v>1293600000</v>
      </c>
      <c r="P24" s="15">
        <f>Продукция!$I$4*12</f>
        <v>1293600000</v>
      </c>
      <c r="Q24" s="15">
        <f>Продукция!$I$4*12</f>
        <v>1293600000</v>
      </c>
      <c r="R24" s="15">
        <f>Продукция!$I$4*12</f>
        <v>1293600000</v>
      </c>
      <c r="S24" s="15">
        <f>Продукция!$I$4*12</f>
        <v>1293600000</v>
      </c>
      <c r="T24" s="15">
        <f>Продукция!$I$4*12</f>
        <v>1293600000</v>
      </c>
      <c r="U24" s="15">
        <f>Продукция!$I$4*12</f>
        <v>1293600000</v>
      </c>
      <c r="V24" s="15">
        <f>Продукция!$I$4*12</f>
        <v>1293600000</v>
      </c>
      <c r="W24" s="15">
        <f>Продукция!$I$4*12</f>
        <v>1293600000</v>
      </c>
      <c r="X24" s="67"/>
      <c r="Y24" s="63">
        <f t="shared" ref="Y24:Y30" si="17">SUM(D24:H24)</f>
        <v>6468000000</v>
      </c>
      <c r="Z24" s="63">
        <f t="shared" ref="Z24:Z34" si="18">SUM(I24:M24)</f>
        <v>6468000000</v>
      </c>
      <c r="AA24" s="63">
        <f t="shared" ref="AA24:AA34" si="19">SUM(N24:R24)</f>
        <v>6468000000</v>
      </c>
      <c r="AB24" s="63">
        <f>SUM(S24:W24)</f>
        <v>6468000000</v>
      </c>
      <c r="AC24" s="15">
        <f t="shared" si="1"/>
        <v>25872000000</v>
      </c>
    </row>
    <row r="25" spans="1:29" outlineLevel="1" x14ac:dyDescent="0.35">
      <c r="A25" s="4" t="s">
        <v>59</v>
      </c>
      <c r="B25" s="11" t="s">
        <v>47</v>
      </c>
      <c r="C25" s="24">
        <f t="shared" si="16"/>
        <v>0</v>
      </c>
      <c r="D25" s="15">
        <f>Продукция!$I$9/4</f>
        <v>0</v>
      </c>
      <c r="E25" s="15">
        <f>Продукция!$I$9/4</f>
        <v>0</v>
      </c>
      <c r="F25" s="15">
        <f>Продукция!$I$9/4</f>
        <v>0</v>
      </c>
      <c r="G25" s="15">
        <f>Продукция!$I$9/4</f>
        <v>0</v>
      </c>
      <c r="H25" s="15">
        <f>Продукция!$I$9/4</f>
        <v>0</v>
      </c>
      <c r="I25" s="15">
        <f>Продукция!$I$9/4</f>
        <v>0</v>
      </c>
      <c r="J25" s="15">
        <f>Продукция!$I$9/4</f>
        <v>0</v>
      </c>
      <c r="K25" s="15">
        <f>Продукция!$I$9/4</f>
        <v>0</v>
      </c>
      <c r="L25" s="15">
        <f>Продукция!$I$9/4</f>
        <v>0</v>
      </c>
      <c r="M25" s="15">
        <f>Продукция!$I$9/4</f>
        <v>0</v>
      </c>
      <c r="N25" s="15">
        <f>Продукция!$I$9/4</f>
        <v>0</v>
      </c>
      <c r="O25" s="15">
        <f>Продукция!$I$9/4</f>
        <v>0</v>
      </c>
      <c r="P25" s="15">
        <f>Продукция!$I$9/4</f>
        <v>0</v>
      </c>
      <c r="Q25" s="15">
        <f>Продукция!$I$9/4</f>
        <v>0</v>
      </c>
      <c r="R25" s="15">
        <f>Продукция!$I$9/4</f>
        <v>0</v>
      </c>
      <c r="S25" s="15">
        <f>Продукция!$I$9/4</f>
        <v>0</v>
      </c>
      <c r="T25" s="15">
        <f>Продукция!$I$9/4</f>
        <v>0</v>
      </c>
      <c r="U25" s="15">
        <f>Продукция!$I$9/4</f>
        <v>0</v>
      </c>
      <c r="V25" s="15">
        <f>Продукция!$I$9/4</f>
        <v>0</v>
      </c>
      <c r="W25" s="15">
        <f>Продукция!$I$9/4</f>
        <v>0</v>
      </c>
      <c r="X25" s="67"/>
      <c r="Y25" s="63">
        <f t="shared" si="17"/>
        <v>0</v>
      </c>
      <c r="Z25" s="63">
        <f t="shared" si="18"/>
        <v>0</v>
      </c>
      <c r="AA25" s="63">
        <f t="shared" si="19"/>
        <v>0</v>
      </c>
      <c r="AB25" s="63">
        <f t="shared" ref="AB25:AB31" si="20">SUM(S25:W25)</f>
        <v>0</v>
      </c>
      <c r="AC25" s="15">
        <f t="shared" si="1"/>
        <v>0</v>
      </c>
    </row>
    <row r="26" spans="1:29" outlineLevel="1" x14ac:dyDescent="0.35">
      <c r="A26" s="4" t="s">
        <v>60</v>
      </c>
      <c r="B26" s="11" t="s">
        <v>50</v>
      </c>
      <c r="C26" s="24">
        <f t="shared" si="16"/>
        <v>0</v>
      </c>
      <c r="D26" s="15">
        <f>Продукция!$I$10/4</f>
        <v>0</v>
      </c>
      <c r="E26" s="15">
        <f>Продукция!$I$10/4</f>
        <v>0</v>
      </c>
      <c r="F26" s="15">
        <f>Продукция!$I$10/4</f>
        <v>0</v>
      </c>
      <c r="G26" s="15">
        <f>Продукция!$I$10/4</f>
        <v>0</v>
      </c>
      <c r="H26" s="15">
        <f>Продукция!$I$10/4</f>
        <v>0</v>
      </c>
      <c r="I26" s="15">
        <f>Продукция!$I$10/4</f>
        <v>0</v>
      </c>
      <c r="J26" s="15">
        <f>Продукция!$I$10/4</f>
        <v>0</v>
      </c>
      <c r="K26" s="15">
        <f>Продукция!$I$10/4</f>
        <v>0</v>
      </c>
      <c r="L26" s="15">
        <f>Продукция!$I$10/4</f>
        <v>0</v>
      </c>
      <c r="M26" s="15">
        <f>Продукция!$I$10/4</f>
        <v>0</v>
      </c>
      <c r="N26" s="15">
        <f>Продукция!$I$10/4</f>
        <v>0</v>
      </c>
      <c r="O26" s="15">
        <f>Продукция!$I$10/4</f>
        <v>0</v>
      </c>
      <c r="P26" s="15">
        <f>Продукция!$I$10/4</f>
        <v>0</v>
      </c>
      <c r="Q26" s="15">
        <f>Продукция!$I$10/4</f>
        <v>0</v>
      </c>
      <c r="R26" s="15">
        <f>Продукция!$I$10/4</f>
        <v>0</v>
      </c>
      <c r="S26" s="15">
        <f>Продукция!$I$10/4</f>
        <v>0</v>
      </c>
      <c r="T26" s="15">
        <f>Продукция!$I$10/4</f>
        <v>0</v>
      </c>
      <c r="U26" s="15">
        <f>Продукция!$I$10/4</f>
        <v>0</v>
      </c>
      <c r="V26" s="15">
        <f>Продукция!$I$10/4</f>
        <v>0</v>
      </c>
      <c r="W26" s="15">
        <f>Продукция!$I$10/4</f>
        <v>0</v>
      </c>
      <c r="X26" s="67"/>
      <c r="Y26" s="63">
        <f t="shared" si="17"/>
        <v>0</v>
      </c>
      <c r="Z26" s="63">
        <f t="shared" si="18"/>
        <v>0</v>
      </c>
      <c r="AA26" s="63">
        <f t="shared" si="19"/>
        <v>0</v>
      </c>
      <c r="AB26" s="63">
        <f t="shared" si="20"/>
        <v>0</v>
      </c>
      <c r="AC26" s="15">
        <f t="shared" si="1"/>
        <v>0</v>
      </c>
    </row>
    <row r="27" spans="1:29" outlineLevel="1" x14ac:dyDescent="0.35">
      <c r="A27" s="4" t="s">
        <v>61</v>
      </c>
      <c r="B27" s="11" t="s">
        <v>51</v>
      </c>
      <c r="C27" s="24">
        <f t="shared" si="16"/>
        <v>0</v>
      </c>
      <c r="D27" s="15">
        <f>Продукция!$I$11/4</f>
        <v>0</v>
      </c>
      <c r="E27" s="15">
        <f>Продукция!$I$11/4</f>
        <v>0</v>
      </c>
      <c r="F27" s="15">
        <f>Продукция!$I$11/4</f>
        <v>0</v>
      </c>
      <c r="G27" s="15">
        <f>Продукция!$I$11/4</f>
        <v>0</v>
      </c>
      <c r="H27" s="15">
        <f>Продукция!$I$11/4</f>
        <v>0</v>
      </c>
      <c r="I27" s="15">
        <f>Продукция!$I$11/4</f>
        <v>0</v>
      </c>
      <c r="J27" s="15">
        <f>Продукция!$I$11/4</f>
        <v>0</v>
      </c>
      <c r="K27" s="15">
        <f>Продукция!$I$11/4</f>
        <v>0</v>
      </c>
      <c r="L27" s="15">
        <f>Продукция!$I$11/4</f>
        <v>0</v>
      </c>
      <c r="M27" s="15">
        <f>Продукция!$I$11/4</f>
        <v>0</v>
      </c>
      <c r="N27" s="15">
        <f>Продукция!$I$11/4</f>
        <v>0</v>
      </c>
      <c r="O27" s="15">
        <f>Продукция!$I$11/4</f>
        <v>0</v>
      </c>
      <c r="P27" s="15">
        <f>Продукция!$I$11/4</f>
        <v>0</v>
      </c>
      <c r="Q27" s="15">
        <f>Продукция!$I$11/4</f>
        <v>0</v>
      </c>
      <c r="R27" s="15">
        <f>Продукция!$I$11/4</f>
        <v>0</v>
      </c>
      <c r="S27" s="15">
        <f>Продукция!$I$11/4</f>
        <v>0</v>
      </c>
      <c r="T27" s="15">
        <f>Продукция!$I$11/4</f>
        <v>0</v>
      </c>
      <c r="U27" s="15">
        <f>Продукция!$I$11/4</f>
        <v>0</v>
      </c>
      <c r="V27" s="15">
        <f>Продукция!$I$11/4</f>
        <v>0</v>
      </c>
      <c r="W27" s="15">
        <f>Продукция!$I$11/4</f>
        <v>0</v>
      </c>
      <c r="X27" s="67"/>
      <c r="Y27" s="63">
        <f t="shared" si="17"/>
        <v>0</v>
      </c>
      <c r="Z27" s="63">
        <f t="shared" si="18"/>
        <v>0</v>
      </c>
      <c r="AA27" s="63">
        <f t="shared" si="19"/>
        <v>0</v>
      </c>
      <c r="AB27" s="63">
        <f t="shared" si="20"/>
        <v>0</v>
      </c>
      <c r="AC27" s="15">
        <f t="shared" si="1"/>
        <v>0</v>
      </c>
    </row>
    <row r="28" spans="1:29" outlineLevel="1" x14ac:dyDescent="0.35">
      <c r="A28" s="4" t="s">
        <v>62</v>
      </c>
      <c r="B28" s="11" t="s">
        <v>56</v>
      </c>
      <c r="C28" s="24">
        <f t="shared" si="16"/>
        <v>672000000</v>
      </c>
      <c r="D28" s="15">
        <f>Продукция!$I$12*12</f>
        <v>33600000</v>
      </c>
      <c r="E28" s="15">
        <f>Продукция!$I$12*12</f>
        <v>33600000</v>
      </c>
      <c r="F28" s="15">
        <f>Продукция!$I$12*12</f>
        <v>33600000</v>
      </c>
      <c r="G28" s="15">
        <f>Продукция!$I$12*12</f>
        <v>33600000</v>
      </c>
      <c r="H28" s="15">
        <f>Продукция!$I$12*12</f>
        <v>33600000</v>
      </c>
      <c r="I28" s="15">
        <f>Продукция!$I$12*12</f>
        <v>33600000</v>
      </c>
      <c r="J28" s="15">
        <f>Продукция!$I$12*12</f>
        <v>33600000</v>
      </c>
      <c r="K28" s="15">
        <f>Продукция!$I$12*12</f>
        <v>33600000</v>
      </c>
      <c r="L28" s="15">
        <f>Продукция!$I$12*12</f>
        <v>33600000</v>
      </c>
      <c r="M28" s="15">
        <f>Продукция!$I$12*12</f>
        <v>33600000</v>
      </c>
      <c r="N28" s="15">
        <f>Продукция!$I$12*12</f>
        <v>33600000</v>
      </c>
      <c r="O28" s="15">
        <f>Продукция!$I$12*12</f>
        <v>33600000</v>
      </c>
      <c r="P28" s="15">
        <f>Продукция!$I$12*12</f>
        <v>33600000</v>
      </c>
      <c r="Q28" s="15">
        <f>Продукция!$I$12*12</f>
        <v>33600000</v>
      </c>
      <c r="R28" s="15">
        <f>Продукция!$I$12*12</f>
        <v>33600000</v>
      </c>
      <c r="S28" s="15">
        <f>Продукция!$I$12*12</f>
        <v>33600000</v>
      </c>
      <c r="T28" s="15">
        <f>Продукция!$I$12*12</f>
        <v>33600000</v>
      </c>
      <c r="U28" s="15">
        <f>Продукция!$I$12*12</f>
        <v>33600000</v>
      </c>
      <c r="V28" s="15">
        <f>Продукция!$I$12*12</f>
        <v>33600000</v>
      </c>
      <c r="W28" s="15">
        <f>Продукция!$I$12*12</f>
        <v>33600000</v>
      </c>
      <c r="X28" s="67"/>
      <c r="Y28" s="63">
        <f t="shared" si="17"/>
        <v>168000000</v>
      </c>
      <c r="Z28" s="63">
        <f t="shared" si="18"/>
        <v>168000000</v>
      </c>
      <c r="AA28" s="63">
        <f t="shared" si="19"/>
        <v>168000000</v>
      </c>
      <c r="AB28" s="63">
        <f t="shared" si="20"/>
        <v>168000000</v>
      </c>
      <c r="AC28" s="15">
        <f t="shared" si="1"/>
        <v>672000000</v>
      </c>
    </row>
    <row r="29" spans="1:29" outlineLevel="1" x14ac:dyDescent="0.35">
      <c r="A29" s="4" t="s">
        <v>63</v>
      </c>
      <c r="B29" s="11" t="s">
        <v>256</v>
      </c>
      <c r="C29" s="24">
        <f t="shared" si="16"/>
        <v>5292000000</v>
      </c>
      <c r="D29" s="15">
        <f>Продукция!$I$5*12</f>
        <v>264600000</v>
      </c>
      <c r="E29" s="15">
        <f>Продукция!$I$5*12</f>
        <v>264600000</v>
      </c>
      <c r="F29" s="15">
        <f>Продукция!$I$5*12</f>
        <v>264600000</v>
      </c>
      <c r="G29" s="15">
        <f>Продукция!$I$5*12</f>
        <v>264600000</v>
      </c>
      <c r="H29" s="15">
        <f>Продукция!$I$5*12</f>
        <v>264600000</v>
      </c>
      <c r="I29" s="15">
        <f>Продукция!$I$5*12</f>
        <v>264600000</v>
      </c>
      <c r="J29" s="15">
        <f>Продукция!$I$5*12</f>
        <v>264600000</v>
      </c>
      <c r="K29" s="15">
        <f>Продукция!$I$5*12</f>
        <v>264600000</v>
      </c>
      <c r="L29" s="15">
        <f>Продукция!$I$5*12</f>
        <v>264600000</v>
      </c>
      <c r="M29" s="15">
        <f>Продукция!$I$5*12</f>
        <v>264600000</v>
      </c>
      <c r="N29" s="15">
        <f>Продукция!$I$5*12</f>
        <v>264600000</v>
      </c>
      <c r="O29" s="15">
        <f>Продукция!$I$5*12</f>
        <v>264600000</v>
      </c>
      <c r="P29" s="15">
        <f>Продукция!$I$5*12</f>
        <v>264600000</v>
      </c>
      <c r="Q29" s="15">
        <f>Продукция!$I$5*12</f>
        <v>264600000</v>
      </c>
      <c r="R29" s="15">
        <f>Продукция!$I$5*12</f>
        <v>264600000</v>
      </c>
      <c r="S29" s="15">
        <f>Продукция!$I$5*12</f>
        <v>264600000</v>
      </c>
      <c r="T29" s="15">
        <f>Продукция!$I$5*12</f>
        <v>264600000</v>
      </c>
      <c r="U29" s="15">
        <f>Продукция!$I$5*12</f>
        <v>264600000</v>
      </c>
      <c r="V29" s="15">
        <f>Продукция!$I$5*12</f>
        <v>264600000</v>
      </c>
      <c r="W29" s="15">
        <f>Продукция!$I$5*12</f>
        <v>264600000</v>
      </c>
      <c r="X29" s="67"/>
      <c r="Y29" s="63">
        <f t="shared" si="17"/>
        <v>1323000000</v>
      </c>
      <c r="Z29" s="63">
        <f t="shared" si="18"/>
        <v>1323000000</v>
      </c>
      <c r="AA29" s="63">
        <f t="shared" si="19"/>
        <v>1323000000</v>
      </c>
      <c r="AB29" s="63">
        <f t="shared" si="20"/>
        <v>1323000000</v>
      </c>
      <c r="AC29" s="15">
        <f t="shared" si="1"/>
        <v>5292000000</v>
      </c>
    </row>
    <row r="30" spans="1:29" outlineLevel="1" x14ac:dyDescent="0.35">
      <c r="A30" s="4" t="s">
        <v>64</v>
      </c>
      <c r="B30" s="11" t="s">
        <v>66</v>
      </c>
      <c r="C30" s="24">
        <f t="shared" si="16"/>
        <v>336000000</v>
      </c>
      <c r="D30" s="15">
        <f>Продукция!$I$7*12</f>
        <v>16800000</v>
      </c>
      <c r="E30" s="15">
        <f>Продукция!$I$7*12</f>
        <v>16800000</v>
      </c>
      <c r="F30" s="15">
        <f>Продукция!$I$7*12</f>
        <v>16800000</v>
      </c>
      <c r="G30" s="15">
        <f>Продукция!$I$7*12</f>
        <v>16800000</v>
      </c>
      <c r="H30" s="15">
        <f>Продукция!$I$7*12</f>
        <v>16800000</v>
      </c>
      <c r="I30" s="15">
        <f>Продукция!$I$7*12</f>
        <v>16800000</v>
      </c>
      <c r="J30" s="15">
        <f>Продукция!$I$7*12</f>
        <v>16800000</v>
      </c>
      <c r="K30" s="15">
        <f>Продукция!$I$7*12</f>
        <v>16800000</v>
      </c>
      <c r="L30" s="15">
        <f>Продукция!$I$7*12</f>
        <v>16800000</v>
      </c>
      <c r="M30" s="15">
        <f>Продукция!$I$7*12</f>
        <v>16800000</v>
      </c>
      <c r="N30" s="15">
        <f>Продукция!$I$7*12</f>
        <v>16800000</v>
      </c>
      <c r="O30" s="15">
        <f>Продукция!$I$7*12</f>
        <v>16800000</v>
      </c>
      <c r="P30" s="15">
        <f>Продукция!$I$7*12</f>
        <v>16800000</v>
      </c>
      <c r="Q30" s="15">
        <f>Продукция!$I$7*12</f>
        <v>16800000</v>
      </c>
      <c r="R30" s="15">
        <f>Продукция!$I$7*12</f>
        <v>16800000</v>
      </c>
      <c r="S30" s="15">
        <f>Продукция!$I$7*12</f>
        <v>16800000</v>
      </c>
      <c r="T30" s="15">
        <f>Продукция!$I$7*12</f>
        <v>16800000</v>
      </c>
      <c r="U30" s="15">
        <f>Продукция!$I$7*12</f>
        <v>16800000</v>
      </c>
      <c r="V30" s="15">
        <f>Продукция!$I$7*12</f>
        <v>16800000</v>
      </c>
      <c r="W30" s="15">
        <f>Продукция!$I$7*12</f>
        <v>16800000</v>
      </c>
      <c r="X30" s="67"/>
      <c r="Y30" s="63">
        <f t="shared" si="17"/>
        <v>84000000</v>
      </c>
      <c r="Z30" s="63">
        <f t="shared" si="18"/>
        <v>84000000</v>
      </c>
      <c r="AA30" s="63">
        <f t="shared" si="19"/>
        <v>84000000</v>
      </c>
      <c r="AB30" s="63">
        <f t="shared" si="20"/>
        <v>84000000</v>
      </c>
      <c r="AC30" s="15">
        <f t="shared" si="1"/>
        <v>336000000</v>
      </c>
    </row>
    <row r="31" spans="1:29" outlineLevel="1" x14ac:dyDescent="0.35">
      <c r="A31" s="4" t="s">
        <v>65</v>
      </c>
      <c r="B31" s="11" t="s">
        <v>88</v>
      </c>
      <c r="C31" s="24">
        <f t="shared" si="16"/>
        <v>1680000000</v>
      </c>
      <c r="D31" s="15">
        <f>Продукция!$I$13*4</f>
        <v>84000000</v>
      </c>
      <c r="E31" s="15">
        <f>Продукция!$I$13*4</f>
        <v>84000000</v>
      </c>
      <c r="F31" s="15">
        <f>Продукция!$I$13*4</f>
        <v>84000000</v>
      </c>
      <c r="G31" s="15">
        <f>Продукция!$I$13*4</f>
        <v>84000000</v>
      </c>
      <c r="H31" s="15">
        <f>Продукция!$I$13*4</f>
        <v>84000000</v>
      </c>
      <c r="I31" s="15">
        <f>Продукция!$I$13*4</f>
        <v>84000000</v>
      </c>
      <c r="J31" s="15">
        <f>Продукция!$I$13*4</f>
        <v>84000000</v>
      </c>
      <c r="K31" s="15">
        <f>Продукция!$I$13*4</f>
        <v>84000000</v>
      </c>
      <c r="L31" s="15">
        <f>Продукция!$I$13*4</f>
        <v>84000000</v>
      </c>
      <c r="M31" s="15">
        <f>Продукция!$I$13*4</f>
        <v>84000000</v>
      </c>
      <c r="N31" s="15">
        <f>Продукция!$I$13*4</f>
        <v>84000000</v>
      </c>
      <c r="O31" s="15">
        <f>Продукция!$I$13*4</f>
        <v>84000000</v>
      </c>
      <c r="P31" s="15">
        <f>Продукция!$I$13*4</f>
        <v>84000000</v>
      </c>
      <c r="Q31" s="15">
        <f>Продукция!$I$13*4</f>
        <v>84000000</v>
      </c>
      <c r="R31" s="15">
        <f>Продукция!$I$13*4</f>
        <v>84000000</v>
      </c>
      <c r="S31" s="15">
        <f>Продукция!$I$13*4</f>
        <v>84000000</v>
      </c>
      <c r="T31" s="15">
        <f>Продукция!$I$13*4</f>
        <v>84000000</v>
      </c>
      <c r="U31" s="15">
        <f>Продукция!$I$13*4</f>
        <v>84000000</v>
      </c>
      <c r="V31" s="15">
        <f>Продукция!$I$13*4</f>
        <v>84000000</v>
      </c>
      <c r="W31" s="15">
        <f>Продукция!$I$13*4</f>
        <v>84000000</v>
      </c>
      <c r="X31" s="67"/>
      <c r="Y31" s="63">
        <f>SUM(D31:H31)</f>
        <v>420000000</v>
      </c>
      <c r="Z31" s="63">
        <f t="shared" si="18"/>
        <v>420000000</v>
      </c>
      <c r="AA31" s="63">
        <f t="shared" si="19"/>
        <v>420000000</v>
      </c>
      <c r="AB31" s="63">
        <f t="shared" si="20"/>
        <v>420000000</v>
      </c>
      <c r="AC31" s="15">
        <f t="shared" si="1"/>
        <v>1680000000</v>
      </c>
    </row>
    <row r="32" spans="1:29" outlineLevel="1" x14ac:dyDescent="0.35">
      <c r="A32" s="4" t="s">
        <v>213</v>
      </c>
      <c r="B32" s="11" t="s">
        <v>48</v>
      </c>
      <c r="C32" s="24">
        <f t="shared" si="16"/>
        <v>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67"/>
      <c r="Y32" s="63"/>
      <c r="Z32" s="63">
        <f t="shared" si="18"/>
        <v>0</v>
      </c>
      <c r="AA32" s="63">
        <f t="shared" si="19"/>
        <v>0</v>
      </c>
      <c r="AB32" s="15"/>
      <c r="AC32" s="15"/>
    </row>
    <row r="33" spans="1:29" ht="15.5" x14ac:dyDescent="0.35">
      <c r="A33" s="3" t="s">
        <v>39</v>
      </c>
      <c r="B33" s="9" t="s">
        <v>41</v>
      </c>
      <c r="C33" s="25"/>
      <c r="D33" s="15">
        <f t="shared" ref="D33:W33" si="21">D22-D3</f>
        <v>202317400</v>
      </c>
      <c r="E33" s="15">
        <f t="shared" si="21"/>
        <v>202317399</v>
      </c>
      <c r="F33" s="15">
        <f t="shared" si="21"/>
        <v>202317398</v>
      </c>
      <c r="G33" s="15">
        <f t="shared" si="21"/>
        <v>202317397</v>
      </c>
      <c r="H33" s="15">
        <f t="shared" si="21"/>
        <v>202317396</v>
      </c>
      <c r="I33" s="15">
        <f t="shared" si="21"/>
        <v>202317395</v>
      </c>
      <c r="J33" s="15">
        <f t="shared" si="21"/>
        <v>202317394</v>
      </c>
      <c r="K33" s="15">
        <f t="shared" si="21"/>
        <v>202317393</v>
      </c>
      <c r="L33" s="15">
        <f t="shared" si="21"/>
        <v>202317392</v>
      </c>
      <c r="M33" s="15">
        <f t="shared" si="21"/>
        <v>202317391</v>
      </c>
      <c r="N33" s="15">
        <f t="shared" si="21"/>
        <v>202317390</v>
      </c>
      <c r="O33" s="15">
        <f t="shared" si="21"/>
        <v>202317389</v>
      </c>
      <c r="P33" s="15">
        <f t="shared" si="21"/>
        <v>202317388</v>
      </c>
      <c r="Q33" s="15">
        <f t="shared" si="21"/>
        <v>202317387</v>
      </c>
      <c r="R33" s="15">
        <f t="shared" si="21"/>
        <v>202317386</v>
      </c>
      <c r="S33" s="15">
        <f t="shared" si="21"/>
        <v>202317385</v>
      </c>
      <c r="T33" s="15">
        <f t="shared" si="21"/>
        <v>202317384</v>
      </c>
      <c r="U33" s="15">
        <f t="shared" si="21"/>
        <v>202317383</v>
      </c>
      <c r="V33" s="15">
        <f t="shared" si="21"/>
        <v>202317382</v>
      </c>
      <c r="W33" s="15">
        <f t="shared" si="21"/>
        <v>202317381</v>
      </c>
      <c r="X33" s="67"/>
      <c r="Y33" s="63">
        <f>Y22-Y3</f>
        <v>1011586990</v>
      </c>
      <c r="Z33" s="63">
        <f t="shared" ref="Z33:AB33" si="22">Z22-Z3</f>
        <v>1011586965</v>
      </c>
      <c r="AA33" s="63">
        <f t="shared" si="22"/>
        <v>1011586940</v>
      </c>
      <c r="AB33" s="63">
        <f t="shared" si="22"/>
        <v>1011586915</v>
      </c>
      <c r="AC33" s="15">
        <f>AC22-AC3</f>
        <v>4046347810</v>
      </c>
    </row>
    <row r="34" spans="1:29" ht="15.5" x14ac:dyDescent="0.35">
      <c r="A34" s="3" t="s">
        <v>40</v>
      </c>
      <c r="B34" s="9" t="s">
        <v>68</v>
      </c>
      <c r="C34" s="25"/>
      <c r="D34" s="15">
        <f>D33</f>
        <v>202317400</v>
      </c>
      <c r="E34" s="15">
        <f>D34+E33</f>
        <v>404634799</v>
      </c>
      <c r="F34" s="15">
        <f t="shared" ref="F34:W34" si="23">E34+F33</f>
        <v>606952197</v>
      </c>
      <c r="G34" s="15">
        <f t="shared" si="23"/>
        <v>809269594</v>
      </c>
      <c r="H34" s="15">
        <f t="shared" si="23"/>
        <v>1011586990</v>
      </c>
      <c r="I34" s="15">
        <f t="shared" si="23"/>
        <v>1213904385</v>
      </c>
      <c r="J34" s="15">
        <f t="shared" si="23"/>
        <v>1416221779</v>
      </c>
      <c r="K34" s="15">
        <f t="shared" si="23"/>
        <v>1618539172</v>
      </c>
      <c r="L34" s="15">
        <f t="shared" si="23"/>
        <v>1820856564</v>
      </c>
      <c r="M34" s="15">
        <f t="shared" si="23"/>
        <v>2023173955</v>
      </c>
      <c r="N34" s="15">
        <f t="shared" si="23"/>
        <v>2225491345</v>
      </c>
      <c r="O34" s="15">
        <f t="shared" si="23"/>
        <v>2427808734</v>
      </c>
      <c r="P34" s="15">
        <f t="shared" si="23"/>
        <v>2630126122</v>
      </c>
      <c r="Q34" s="15">
        <f t="shared" si="23"/>
        <v>2832443509</v>
      </c>
      <c r="R34" s="15">
        <f t="shared" si="23"/>
        <v>3034760895</v>
      </c>
      <c r="S34" s="15">
        <f t="shared" si="23"/>
        <v>3237078280</v>
      </c>
      <c r="T34" s="15">
        <f t="shared" ref="T34" si="24">S34+T33</f>
        <v>3439395664</v>
      </c>
      <c r="U34" s="15">
        <f t="shared" ref="U34" si="25">T34+U33</f>
        <v>3641713047</v>
      </c>
      <c r="V34" s="15">
        <f t="shared" ref="V34" si="26">U34+V33</f>
        <v>3844030429</v>
      </c>
      <c r="W34" s="15">
        <f t="shared" si="23"/>
        <v>4046347810</v>
      </c>
      <c r="X34" s="67"/>
      <c r="Y34" s="63">
        <f>Y22-Y3</f>
        <v>1011586990</v>
      </c>
      <c r="Z34" s="63">
        <f t="shared" si="18"/>
        <v>8092695855</v>
      </c>
      <c r="AA34" s="63">
        <f t="shared" si="19"/>
        <v>13150630605</v>
      </c>
      <c r="AB34" s="15">
        <f t="shared" ref="AB34:AC34" si="27">AA34+AB33</f>
        <v>14162217520</v>
      </c>
      <c r="AC34" s="15">
        <f t="shared" si="27"/>
        <v>18208565330</v>
      </c>
    </row>
    <row r="35" spans="1:29" ht="15.5" x14ac:dyDescent="0.35">
      <c r="A35" s="3" t="s">
        <v>42</v>
      </c>
      <c r="B35" s="16" t="s">
        <v>272</v>
      </c>
      <c r="C35" s="26">
        <f>SUM(D35:W35)</f>
        <v>3989196000</v>
      </c>
      <c r="D35" s="17">
        <v>202317400</v>
      </c>
      <c r="E35" s="17">
        <v>202317399</v>
      </c>
      <c r="F35" s="17">
        <v>202317398</v>
      </c>
      <c r="G35" s="17">
        <v>202317397</v>
      </c>
      <c r="H35" s="17">
        <v>202317396</v>
      </c>
      <c r="I35" s="17">
        <v>202317395</v>
      </c>
      <c r="J35" s="17">
        <v>202317394</v>
      </c>
      <c r="K35" s="17">
        <v>202317393</v>
      </c>
      <c r="L35" s="17">
        <v>202317392</v>
      </c>
      <c r="M35" s="17">
        <v>202317391</v>
      </c>
      <c r="N35" s="17">
        <v>202317390</v>
      </c>
      <c r="O35" s="17">
        <v>202317389</v>
      </c>
      <c r="P35" s="17">
        <v>202317388</v>
      </c>
      <c r="Q35" s="17">
        <v>202317387</v>
      </c>
      <c r="R35" s="17">
        <v>202317386</v>
      </c>
      <c r="S35" s="17">
        <v>202317385</v>
      </c>
      <c r="T35" s="17">
        <v>202317384</v>
      </c>
      <c r="U35" s="17">
        <v>202317383</v>
      </c>
      <c r="V35" s="17">
        <v>202317382</v>
      </c>
      <c r="W35" s="17">
        <v>145165571</v>
      </c>
      <c r="X35" s="67"/>
      <c r="Y35" s="64">
        <v>1011586990</v>
      </c>
      <c r="Z35" s="17">
        <v>1011586965</v>
      </c>
      <c r="AA35" s="17">
        <v>1011586940</v>
      </c>
      <c r="AB35" s="17">
        <v>1011586915</v>
      </c>
      <c r="AC35" s="17">
        <f>SUM(Y35:AB35)</f>
        <v>4046347810</v>
      </c>
    </row>
    <row r="36" spans="1:29" ht="15.5" x14ac:dyDescent="0.35">
      <c r="A36" s="5" t="s">
        <v>45</v>
      </c>
      <c r="B36" s="9" t="s">
        <v>43</v>
      </c>
      <c r="C36" s="25">
        <f>SUM(D36:W36)</f>
        <v>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7"/>
      <c r="X36" s="67"/>
      <c r="Y36" s="63"/>
      <c r="Z36" s="15"/>
      <c r="AA36" s="15"/>
      <c r="AB36" s="15"/>
      <c r="AC36" s="15">
        <f>SUM(Y36:AB36)</f>
        <v>0</v>
      </c>
    </row>
    <row r="37" spans="1:29" ht="15.5" x14ac:dyDescent="0.35">
      <c r="A37" s="3" t="s">
        <v>67</v>
      </c>
      <c r="B37" s="12" t="s">
        <v>44</v>
      </c>
      <c r="C37" s="27"/>
      <c r="D37" s="15">
        <f>D33-D35-D36</f>
        <v>0</v>
      </c>
      <c r="E37" s="15">
        <f>E33-E35-E36+D37</f>
        <v>0</v>
      </c>
      <c r="F37" s="15">
        <f t="shared" ref="F37:R37" si="28">F33-F35-F36+E37</f>
        <v>0</v>
      </c>
      <c r="G37" s="15">
        <f t="shared" si="28"/>
        <v>0</v>
      </c>
      <c r="H37" s="15">
        <f t="shared" si="28"/>
        <v>0</v>
      </c>
      <c r="I37" s="15">
        <f t="shared" si="28"/>
        <v>0</v>
      </c>
      <c r="J37" s="15">
        <f t="shared" si="28"/>
        <v>0</v>
      </c>
      <c r="K37" s="15">
        <f t="shared" si="28"/>
        <v>0</v>
      </c>
      <c r="L37" s="15">
        <f t="shared" si="28"/>
        <v>0</v>
      </c>
      <c r="M37" s="15">
        <f t="shared" si="28"/>
        <v>0</v>
      </c>
      <c r="N37" s="15">
        <f t="shared" si="28"/>
        <v>0</v>
      </c>
      <c r="O37" s="15">
        <f t="shared" si="28"/>
        <v>0</v>
      </c>
      <c r="P37" s="15">
        <f t="shared" si="28"/>
        <v>0</v>
      </c>
      <c r="Q37" s="15">
        <f t="shared" si="28"/>
        <v>0</v>
      </c>
      <c r="R37" s="15">
        <f t="shared" si="28"/>
        <v>0</v>
      </c>
      <c r="S37" s="15">
        <f t="shared" ref="S37" si="29">S33-S35-S36+R37</f>
        <v>0</v>
      </c>
      <c r="T37" s="15">
        <f t="shared" ref="T37" si="30">T33-T35-T36+S37</f>
        <v>0</v>
      </c>
      <c r="U37" s="15">
        <f t="shared" ref="U37" si="31">U33-U35-U36+T37</f>
        <v>0</v>
      </c>
      <c r="V37" s="15">
        <f t="shared" ref="V37" si="32">V33-V35-V36+U37</f>
        <v>0</v>
      </c>
      <c r="W37" s="17">
        <f t="shared" ref="W37" si="33">W33-W35-W36+V37</f>
        <v>57151810</v>
      </c>
      <c r="X37" s="67"/>
      <c r="Y37" s="17">
        <f>Y33-Y35-Y36</f>
        <v>0</v>
      </c>
      <c r="Z37" s="17">
        <f>Z33-Z35-Z36+Y37</f>
        <v>0</v>
      </c>
      <c r="AA37" s="17">
        <f t="shared" ref="AA37:AB37" si="34">AA33-AA35-AA36+Z37</f>
        <v>0</v>
      </c>
      <c r="AB37" s="17">
        <f t="shared" si="34"/>
        <v>0</v>
      </c>
      <c r="AC37" s="17">
        <f>SUM(Y37:AB37)</f>
        <v>0</v>
      </c>
    </row>
    <row r="38" spans="1:29" x14ac:dyDescent="0.35">
      <c r="A38" s="4"/>
      <c r="B38" s="11"/>
      <c r="C38" s="2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67"/>
      <c r="Y38" s="63"/>
      <c r="Z38" s="15"/>
      <c r="AA38" s="15"/>
      <c r="AB38" s="15"/>
      <c r="AC38" s="15"/>
    </row>
    <row r="39" spans="1:29" ht="15" thickBot="1" x14ac:dyDescent="0.4">
      <c r="A39" s="4"/>
      <c r="B39" s="10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66"/>
      <c r="Y39" s="63"/>
      <c r="Z39" s="15"/>
      <c r="AA39" s="15"/>
      <c r="AB39" s="15"/>
      <c r="AC39" s="15"/>
    </row>
    <row r="41" spans="1:29" x14ac:dyDescent="0.35">
      <c r="B41" s="31" t="s">
        <v>91</v>
      </c>
      <c r="C41" s="24">
        <f>CAPEX!C3</f>
        <v>3989196000</v>
      </c>
      <c r="Y41" s="72"/>
      <c r="Z41" s="72"/>
    </row>
    <row r="42" spans="1:29" x14ac:dyDescent="0.35">
      <c r="C42" s="58">
        <f>C41-C35</f>
        <v>0</v>
      </c>
    </row>
    <row r="43" spans="1:29" x14ac:dyDescent="0.35">
      <c r="B43" s="74" t="s">
        <v>306</v>
      </c>
      <c r="C43" s="75" t="s">
        <v>305</v>
      </c>
    </row>
    <row r="44" spans="1:29" x14ac:dyDescent="0.35">
      <c r="B44" s="74" t="s">
        <v>275</v>
      </c>
      <c r="C44" s="75" t="s">
        <v>304</v>
      </c>
    </row>
    <row r="45" spans="1:29" x14ac:dyDescent="0.35">
      <c r="B45" s="74" t="s">
        <v>307</v>
      </c>
      <c r="C45" s="75" t="s">
        <v>305</v>
      </c>
    </row>
    <row r="46" spans="1:29" x14ac:dyDescent="0.35">
      <c r="D46" s="72"/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8"/>
  <sheetViews>
    <sheetView showGridLines="0" tabSelected="1" zoomScale="80" zoomScaleNormal="80" workbookViewId="0">
      <selection activeCell="G2" sqref="G2"/>
    </sheetView>
  </sheetViews>
  <sheetFormatPr defaultRowHeight="14.5" x14ac:dyDescent="0.35"/>
  <cols>
    <col min="1" max="1" width="5" customWidth="1"/>
    <col min="2" max="2" width="52.81640625" bestFit="1" customWidth="1"/>
    <col min="3" max="3" width="13.81640625" customWidth="1"/>
    <col min="4" max="4" width="13.453125" customWidth="1"/>
    <col min="5" max="5" width="10.453125" bestFit="1" customWidth="1"/>
    <col min="6" max="6" width="16.54296875" bestFit="1" customWidth="1"/>
    <col min="7" max="7" width="17.453125" customWidth="1"/>
  </cols>
  <sheetData>
    <row r="1" spans="1:6" x14ac:dyDescent="0.35">
      <c r="B1" t="s">
        <v>227</v>
      </c>
    </row>
    <row r="2" spans="1:6" ht="43.5" x14ac:dyDescent="0.35">
      <c r="A2" s="35" t="s">
        <v>0</v>
      </c>
      <c r="B2" s="35" t="s">
        <v>1</v>
      </c>
      <c r="C2" s="35" t="s">
        <v>107</v>
      </c>
      <c r="D2" s="35" t="s">
        <v>108</v>
      </c>
      <c r="E2" s="35" t="s">
        <v>109</v>
      </c>
      <c r="F2" s="35" t="s">
        <v>110</v>
      </c>
    </row>
    <row r="3" spans="1:6" x14ac:dyDescent="0.35">
      <c r="A3" s="39">
        <v>1</v>
      </c>
      <c r="B3" s="37" t="s">
        <v>309</v>
      </c>
      <c r="C3" s="34"/>
      <c r="D3" s="40"/>
      <c r="E3" s="40"/>
      <c r="F3" s="40"/>
    </row>
    <row r="4" spans="1:6" x14ac:dyDescent="0.35">
      <c r="A4" s="42" t="s">
        <v>10</v>
      </c>
      <c r="B4" s="18" t="s">
        <v>308</v>
      </c>
      <c r="C4" s="32">
        <v>220</v>
      </c>
      <c r="D4" s="41">
        <v>45000000</v>
      </c>
      <c r="E4" s="41">
        <v>3</v>
      </c>
      <c r="F4" s="41">
        <f>D4*E4</f>
        <v>135000000</v>
      </c>
    </row>
    <row r="5" spans="1:6" x14ac:dyDescent="0.35">
      <c r="A5" s="42" t="s">
        <v>11</v>
      </c>
      <c r="B5" s="18" t="s">
        <v>250</v>
      </c>
      <c r="C5" s="32">
        <v>150</v>
      </c>
      <c r="D5" s="41">
        <v>30000000</v>
      </c>
      <c r="E5" s="41">
        <v>3</v>
      </c>
      <c r="F5" s="41">
        <f>D5*E5</f>
        <v>90000000</v>
      </c>
    </row>
    <row r="6" spans="1:6" x14ac:dyDescent="0.35">
      <c r="A6" s="42" t="s">
        <v>12</v>
      </c>
      <c r="B6" s="18" t="s">
        <v>259</v>
      </c>
      <c r="C6" s="32">
        <v>60</v>
      </c>
      <c r="D6" s="41">
        <v>30000000</v>
      </c>
      <c r="E6" s="41">
        <v>3</v>
      </c>
      <c r="F6" s="41">
        <f>D6*E6</f>
        <v>90000000</v>
      </c>
    </row>
    <row r="7" spans="1:6" x14ac:dyDescent="0.35">
      <c r="A7" s="42" t="s">
        <v>13</v>
      </c>
      <c r="B7" s="18" t="s">
        <v>252</v>
      </c>
      <c r="C7" s="32">
        <v>40</v>
      </c>
      <c r="D7" s="41">
        <v>50000000</v>
      </c>
      <c r="E7" s="41">
        <v>3</v>
      </c>
      <c r="F7" s="41">
        <f>D7*E7</f>
        <v>150000000</v>
      </c>
    </row>
    <row r="8" spans="1:6" x14ac:dyDescent="0.35">
      <c r="A8" s="42" t="s">
        <v>14</v>
      </c>
      <c r="B8" s="18" t="s">
        <v>216</v>
      </c>
      <c r="C8" s="32">
        <v>2</v>
      </c>
      <c r="D8" s="41">
        <v>4000000</v>
      </c>
      <c r="E8" s="41">
        <v>3</v>
      </c>
      <c r="F8" s="41">
        <f t="shared" ref="F8:F11" si="0">D8*E8</f>
        <v>12000000</v>
      </c>
    </row>
    <row r="9" spans="1:6" x14ac:dyDescent="0.35">
      <c r="A9" s="42" t="s">
        <v>15</v>
      </c>
      <c r="B9" s="69" t="s">
        <v>231</v>
      </c>
      <c r="C9" s="32">
        <v>6</v>
      </c>
      <c r="D9" s="41">
        <v>6000000</v>
      </c>
      <c r="E9" s="41">
        <v>3</v>
      </c>
      <c r="F9" s="41">
        <f t="shared" si="0"/>
        <v>18000000</v>
      </c>
    </row>
    <row r="10" spans="1:6" x14ac:dyDescent="0.35">
      <c r="A10" s="42" t="s">
        <v>16</v>
      </c>
      <c r="B10" s="18" t="s">
        <v>260</v>
      </c>
      <c r="C10" s="32">
        <v>7</v>
      </c>
      <c r="D10" s="41">
        <v>6000000</v>
      </c>
      <c r="E10" s="41">
        <v>3</v>
      </c>
      <c r="F10" s="41">
        <f t="shared" si="0"/>
        <v>18000000</v>
      </c>
    </row>
    <row r="11" spans="1:6" x14ac:dyDescent="0.35">
      <c r="A11" s="42" t="s">
        <v>17</v>
      </c>
      <c r="B11" s="69" t="s">
        <v>261</v>
      </c>
      <c r="C11" s="32">
        <v>5</v>
      </c>
      <c r="D11" s="41">
        <v>4000000</v>
      </c>
      <c r="E11" s="41">
        <v>3</v>
      </c>
      <c r="F11" s="41">
        <f t="shared" si="0"/>
        <v>12000000</v>
      </c>
    </row>
    <row r="12" spans="1:6" x14ac:dyDescent="0.35">
      <c r="A12" s="38"/>
      <c r="B12" s="43" t="s">
        <v>111</v>
      </c>
      <c r="C12" s="45">
        <f>SUM(C4:C11)</f>
        <v>490</v>
      </c>
      <c r="D12" s="41"/>
      <c r="E12" s="41"/>
      <c r="F12" s="44">
        <f>SUM(F4:F11)</f>
        <v>525000000</v>
      </c>
    </row>
    <row r="13" spans="1:6" x14ac:dyDescent="0.35">
      <c r="A13" s="39" t="s">
        <v>116</v>
      </c>
      <c r="B13" s="37" t="s">
        <v>112</v>
      </c>
      <c r="C13" s="34"/>
      <c r="D13" s="40"/>
      <c r="E13" s="40"/>
      <c r="F13" s="40"/>
    </row>
    <row r="14" spans="1:6" x14ac:dyDescent="0.35">
      <c r="A14" s="42" t="s">
        <v>57</v>
      </c>
      <c r="B14" s="18" t="s">
        <v>222</v>
      </c>
      <c r="C14" s="32"/>
      <c r="D14" s="41">
        <v>2000000</v>
      </c>
      <c r="E14" s="41">
        <v>3</v>
      </c>
      <c r="F14" s="41">
        <f>D14*E14</f>
        <v>6000000</v>
      </c>
    </row>
    <row r="15" spans="1:6" x14ac:dyDescent="0.35">
      <c r="A15" s="42" t="s">
        <v>58</v>
      </c>
      <c r="B15" s="18" t="s">
        <v>235</v>
      </c>
      <c r="C15" s="32">
        <v>0</v>
      </c>
      <c r="D15" s="41">
        <v>0</v>
      </c>
      <c r="E15" s="41">
        <v>0</v>
      </c>
      <c r="F15" s="41">
        <f t="shared" ref="F15:F20" si="1">D15*E15</f>
        <v>0</v>
      </c>
    </row>
    <row r="16" spans="1:6" x14ac:dyDescent="0.35">
      <c r="A16" s="42" t="s">
        <v>59</v>
      </c>
      <c r="B16" s="18" t="s">
        <v>113</v>
      </c>
      <c r="C16" s="32"/>
      <c r="D16" s="41">
        <v>5000000</v>
      </c>
      <c r="E16" s="41">
        <v>6</v>
      </c>
      <c r="F16" s="41">
        <f t="shared" si="1"/>
        <v>30000000</v>
      </c>
    </row>
    <row r="17" spans="1:6" x14ac:dyDescent="0.35">
      <c r="A17" s="42" t="s">
        <v>60</v>
      </c>
      <c r="B17" s="18" t="s">
        <v>114</v>
      </c>
      <c r="C17" s="32">
        <v>15</v>
      </c>
      <c r="D17" s="41">
        <v>4500000</v>
      </c>
      <c r="E17" s="41">
        <v>3</v>
      </c>
      <c r="F17" s="41">
        <f t="shared" si="1"/>
        <v>13500000</v>
      </c>
    </row>
    <row r="18" spans="1:6" x14ac:dyDescent="0.35">
      <c r="A18" s="42" t="s">
        <v>61</v>
      </c>
      <c r="B18" s="18" t="s">
        <v>115</v>
      </c>
      <c r="C18" s="32">
        <v>10</v>
      </c>
      <c r="D18" s="41">
        <v>400000</v>
      </c>
      <c r="E18" s="41">
        <v>3</v>
      </c>
      <c r="F18" s="41">
        <f t="shared" si="1"/>
        <v>1200000</v>
      </c>
    </row>
    <row r="19" spans="1:6" x14ac:dyDescent="0.35">
      <c r="A19" s="42" t="s">
        <v>62</v>
      </c>
      <c r="B19" s="18" t="s">
        <v>221</v>
      </c>
      <c r="C19" s="32">
        <v>5</v>
      </c>
      <c r="D19" s="41">
        <v>4500000</v>
      </c>
      <c r="E19" s="41">
        <v>3</v>
      </c>
      <c r="F19" s="41">
        <f t="shared" si="1"/>
        <v>13500000</v>
      </c>
    </row>
    <row r="20" spans="1:6" x14ac:dyDescent="0.35">
      <c r="A20" s="42" t="s">
        <v>63</v>
      </c>
      <c r="B20" s="18" t="s">
        <v>217</v>
      </c>
      <c r="C20" s="32"/>
      <c r="D20" s="41">
        <v>0</v>
      </c>
      <c r="E20" s="41">
        <v>0</v>
      </c>
      <c r="F20" s="41">
        <f t="shared" si="1"/>
        <v>0</v>
      </c>
    </row>
    <row r="21" spans="1:6" x14ac:dyDescent="0.35">
      <c r="A21" s="38"/>
      <c r="B21" s="43" t="s">
        <v>111</v>
      </c>
      <c r="C21" s="45">
        <f>SUM(C14:C20)</f>
        <v>30</v>
      </c>
      <c r="D21" s="41"/>
      <c r="E21" s="41"/>
      <c r="F21" s="44">
        <f>SUM(F14:F20)</f>
        <v>64200000</v>
      </c>
    </row>
    <row r="22" spans="1:6" x14ac:dyDescent="0.35">
      <c r="A22" s="39">
        <v>3</v>
      </c>
      <c r="B22" s="37" t="s">
        <v>117</v>
      </c>
      <c r="C22" s="34"/>
      <c r="D22" s="40"/>
      <c r="E22" s="40"/>
      <c r="F22" s="40"/>
    </row>
    <row r="23" spans="1:6" x14ac:dyDescent="0.35">
      <c r="A23" s="42" t="s">
        <v>122</v>
      </c>
      <c r="B23" s="18" t="s">
        <v>262</v>
      </c>
      <c r="C23" s="32">
        <v>120</v>
      </c>
      <c r="D23" s="41">
        <v>550000000</v>
      </c>
      <c r="E23" s="41">
        <v>3</v>
      </c>
      <c r="F23" s="41">
        <f>D23*E23</f>
        <v>1650000000</v>
      </c>
    </row>
    <row r="24" spans="1:6" x14ac:dyDescent="0.35">
      <c r="A24" s="42" t="s">
        <v>123</v>
      </c>
      <c r="B24" s="18" t="s">
        <v>118</v>
      </c>
      <c r="C24" s="32">
        <v>25</v>
      </c>
      <c r="D24" s="41">
        <v>16000000</v>
      </c>
      <c r="E24" s="41">
        <v>3</v>
      </c>
      <c r="F24" s="41">
        <f t="shared" ref="F24:F28" si="2">D24*E24</f>
        <v>48000000</v>
      </c>
    </row>
    <row r="25" spans="1:6" x14ac:dyDescent="0.35">
      <c r="A25" s="42" t="s">
        <v>126</v>
      </c>
      <c r="B25" s="18" t="s">
        <v>119</v>
      </c>
      <c r="C25" s="32">
        <v>10</v>
      </c>
      <c r="D25" s="41">
        <v>9000000</v>
      </c>
      <c r="E25" s="41">
        <v>3</v>
      </c>
      <c r="F25" s="41">
        <f t="shared" si="2"/>
        <v>27000000</v>
      </c>
    </row>
    <row r="26" spans="1:6" x14ac:dyDescent="0.35">
      <c r="A26" s="42" t="s">
        <v>127</v>
      </c>
      <c r="B26" s="18" t="s">
        <v>120</v>
      </c>
      <c r="C26" s="32">
        <v>10</v>
      </c>
      <c r="D26" s="41">
        <v>6500000</v>
      </c>
      <c r="E26" s="41">
        <v>3</v>
      </c>
      <c r="F26" s="41">
        <f t="shared" si="2"/>
        <v>19500000</v>
      </c>
    </row>
    <row r="27" spans="1:6" x14ac:dyDescent="0.35">
      <c r="A27" s="42" t="s">
        <v>128</v>
      </c>
      <c r="B27" s="18" t="s">
        <v>121</v>
      </c>
      <c r="C27" s="32">
        <v>20</v>
      </c>
      <c r="D27" s="41">
        <v>12000000</v>
      </c>
      <c r="E27" s="41">
        <v>3</v>
      </c>
      <c r="F27" s="41">
        <f t="shared" si="2"/>
        <v>36000000</v>
      </c>
    </row>
    <row r="28" spans="1:6" x14ac:dyDescent="0.35">
      <c r="A28" s="42" t="s">
        <v>129</v>
      </c>
      <c r="B28" s="18" t="s">
        <v>263</v>
      </c>
      <c r="C28" s="32">
        <v>20</v>
      </c>
      <c r="D28" s="41">
        <v>9000000</v>
      </c>
      <c r="E28" s="41">
        <v>3</v>
      </c>
      <c r="F28" s="41">
        <f t="shared" si="2"/>
        <v>27000000</v>
      </c>
    </row>
    <row r="29" spans="1:6" x14ac:dyDescent="0.35">
      <c r="A29" s="38"/>
      <c r="B29" s="43" t="s">
        <v>111</v>
      </c>
      <c r="C29" s="45">
        <f>SUM(C23:C28)</f>
        <v>205</v>
      </c>
      <c r="D29" s="41"/>
      <c r="E29" s="41"/>
      <c r="F29" s="44">
        <f>SUM(F23:F28)</f>
        <v>1807500000</v>
      </c>
    </row>
    <row r="30" spans="1:6" x14ac:dyDescent="0.35">
      <c r="A30" s="39">
        <v>4</v>
      </c>
      <c r="B30" s="37" t="s">
        <v>130</v>
      </c>
      <c r="C30" s="34"/>
      <c r="D30" s="40"/>
      <c r="E30" s="40"/>
      <c r="F30" s="40"/>
    </row>
    <row r="31" spans="1:6" x14ac:dyDescent="0.35">
      <c r="A31" s="42" t="s">
        <v>131</v>
      </c>
      <c r="B31" s="18" t="s">
        <v>218</v>
      </c>
      <c r="C31" s="32"/>
      <c r="D31" s="41">
        <v>38000000</v>
      </c>
      <c r="E31" s="41">
        <v>6</v>
      </c>
      <c r="F31" s="41">
        <f>E31*D31</f>
        <v>228000000</v>
      </c>
    </row>
    <row r="32" spans="1:6" x14ac:dyDescent="0.35">
      <c r="A32" s="42" t="s">
        <v>233</v>
      </c>
      <c r="B32" s="18" t="s">
        <v>234</v>
      </c>
      <c r="C32" s="32"/>
      <c r="D32" s="41">
        <v>12000000</v>
      </c>
      <c r="E32" s="41">
        <v>3</v>
      </c>
      <c r="F32" s="41">
        <f>E32*D32</f>
        <v>36000000</v>
      </c>
    </row>
    <row r="33" spans="1:6" x14ac:dyDescent="0.35">
      <c r="A33" s="38"/>
      <c r="B33" s="43"/>
      <c r="C33" s="45"/>
      <c r="D33" s="41"/>
      <c r="E33" s="41"/>
      <c r="F33" s="44">
        <f>SUM(F31:F32)</f>
        <v>264000000</v>
      </c>
    </row>
    <row r="34" spans="1:6" x14ac:dyDescent="0.35">
      <c r="A34" s="39">
        <v>5</v>
      </c>
      <c r="B34" s="37" t="s">
        <v>133</v>
      </c>
      <c r="C34" s="34"/>
      <c r="D34" s="40"/>
      <c r="E34" s="40"/>
      <c r="F34" s="40"/>
    </row>
    <row r="35" spans="1:6" x14ac:dyDescent="0.35">
      <c r="A35" s="42" t="s">
        <v>125</v>
      </c>
      <c r="B35" s="18" t="s">
        <v>134</v>
      </c>
      <c r="C35" s="32">
        <v>100</v>
      </c>
      <c r="D35" s="41">
        <v>29000000</v>
      </c>
      <c r="E35" s="41">
        <v>3</v>
      </c>
      <c r="F35" s="41">
        <f>E35*D35</f>
        <v>87000000</v>
      </c>
    </row>
    <row r="36" spans="1:6" x14ac:dyDescent="0.35">
      <c r="A36" s="42" t="s">
        <v>141</v>
      </c>
      <c r="B36" s="18" t="s">
        <v>135</v>
      </c>
      <c r="C36" s="32">
        <v>10</v>
      </c>
      <c r="D36" s="41">
        <v>4000000</v>
      </c>
      <c r="E36" s="41">
        <v>3</v>
      </c>
      <c r="F36" s="41">
        <f t="shared" ref="F36:F44" si="3">E36*D36</f>
        <v>12000000</v>
      </c>
    </row>
    <row r="37" spans="1:6" x14ac:dyDescent="0.35">
      <c r="A37" s="42" t="s">
        <v>142</v>
      </c>
      <c r="B37" s="18" t="s">
        <v>136</v>
      </c>
      <c r="C37" s="32">
        <v>20</v>
      </c>
      <c r="D37" s="41">
        <v>3000000</v>
      </c>
      <c r="E37" s="41">
        <v>3</v>
      </c>
      <c r="F37" s="41">
        <f t="shared" si="3"/>
        <v>9000000</v>
      </c>
    </row>
    <row r="38" spans="1:6" x14ac:dyDescent="0.35">
      <c r="A38" s="42" t="s">
        <v>143</v>
      </c>
      <c r="B38" s="18" t="s">
        <v>137</v>
      </c>
      <c r="C38" s="32">
        <v>60</v>
      </c>
      <c r="D38" s="41">
        <v>14000000</v>
      </c>
      <c r="E38" s="41">
        <v>3</v>
      </c>
      <c r="F38" s="41">
        <f t="shared" si="3"/>
        <v>42000000</v>
      </c>
    </row>
    <row r="39" spans="1:6" x14ac:dyDescent="0.35">
      <c r="A39" s="42" t="s">
        <v>144</v>
      </c>
      <c r="B39" s="18" t="s">
        <v>219</v>
      </c>
      <c r="C39" s="32"/>
      <c r="D39" s="41">
        <v>9500000</v>
      </c>
      <c r="E39" s="41">
        <v>3</v>
      </c>
      <c r="F39" s="41">
        <f t="shared" si="3"/>
        <v>28500000</v>
      </c>
    </row>
    <row r="40" spans="1:6" x14ac:dyDescent="0.35">
      <c r="A40" s="42" t="s">
        <v>145</v>
      </c>
      <c r="B40" s="68" t="s">
        <v>138</v>
      </c>
      <c r="C40" s="70"/>
      <c r="D40" s="71">
        <v>68980000</v>
      </c>
      <c r="E40" s="71">
        <v>0</v>
      </c>
      <c r="F40" s="41">
        <f t="shared" si="3"/>
        <v>0</v>
      </c>
    </row>
    <row r="41" spans="1:6" x14ac:dyDescent="0.35">
      <c r="A41" s="42" t="s">
        <v>146</v>
      </c>
      <c r="B41" s="68" t="s">
        <v>139</v>
      </c>
      <c r="C41" s="32"/>
      <c r="D41" s="71">
        <v>3175000</v>
      </c>
      <c r="E41" s="71">
        <v>0</v>
      </c>
      <c r="F41" s="41">
        <f t="shared" si="3"/>
        <v>0</v>
      </c>
    </row>
    <row r="42" spans="1:6" x14ac:dyDescent="0.35">
      <c r="A42" s="42" t="s">
        <v>83</v>
      </c>
      <c r="B42" s="18" t="s">
        <v>236</v>
      </c>
      <c r="C42" s="32">
        <v>280</v>
      </c>
      <c r="D42" s="41">
        <v>8000000</v>
      </c>
      <c r="E42" s="41">
        <v>3</v>
      </c>
      <c r="F42" s="41">
        <f t="shared" si="3"/>
        <v>24000000</v>
      </c>
    </row>
    <row r="43" spans="1:6" x14ac:dyDescent="0.35">
      <c r="A43" s="42" t="s">
        <v>147</v>
      </c>
      <c r="B43" s="18" t="s">
        <v>140</v>
      </c>
      <c r="C43" s="32">
        <v>20</v>
      </c>
      <c r="D43" s="41">
        <v>3300000</v>
      </c>
      <c r="E43" s="41">
        <v>6</v>
      </c>
      <c r="F43" s="41">
        <f t="shared" si="3"/>
        <v>19800000</v>
      </c>
    </row>
    <row r="44" spans="1:6" x14ac:dyDescent="0.35">
      <c r="A44" s="42" t="s">
        <v>148</v>
      </c>
      <c r="B44" s="18" t="s">
        <v>220</v>
      </c>
      <c r="C44" s="32"/>
      <c r="D44" s="41">
        <v>7000000</v>
      </c>
      <c r="E44" s="41">
        <v>3</v>
      </c>
      <c r="F44" s="41">
        <f t="shared" si="3"/>
        <v>21000000</v>
      </c>
    </row>
    <row r="45" spans="1:6" x14ac:dyDescent="0.35">
      <c r="A45" s="38"/>
      <c r="B45" s="43" t="s">
        <v>111</v>
      </c>
      <c r="C45" s="45">
        <f>SUM(C35:C44)</f>
        <v>490</v>
      </c>
      <c r="D45" s="41"/>
      <c r="E45" s="41"/>
      <c r="F45" s="44">
        <f>SUM(F35:F44)</f>
        <v>243300000</v>
      </c>
    </row>
    <row r="46" spans="1:6" x14ac:dyDescent="0.35">
      <c r="A46" s="39">
        <v>6</v>
      </c>
      <c r="B46" s="37" t="s">
        <v>149</v>
      </c>
      <c r="C46" s="34"/>
      <c r="D46" s="40"/>
      <c r="E46" s="40"/>
      <c r="F46" s="40"/>
    </row>
    <row r="47" spans="1:6" x14ac:dyDescent="0.35">
      <c r="A47" s="42" t="s">
        <v>153</v>
      </c>
      <c r="B47" s="18" t="s">
        <v>150</v>
      </c>
      <c r="C47" s="32">
        <v>20</v>
      </c>
      <c r="D47" s="41">
        <v>5200000</v>
      </c>
      <c r="E47" s="41">
        <v>6</v>
      </c>
      <c r="F47" s="41">
        <f>D47*E47</f>
        <v>31200000</v>
      </c>
    </row>
    <row r="48" spans="1:6" x14ac:dyDescent="0.35">
      <c r="A48" s="42" t="s">
        <v>155</v>
      </c>
      <c r="B48" s="18" t="s">
        <v>151</v>
      </c>
      <c r="C48" s="32">
        <v>20</v>
      </c>
      <c r="D48" s="41">
        <v>3000000</v>
      </c>
      <c r="E48" s="41">
        <v>3</v>
      </c>
      <c r="F48" s="41">
        <f t="shared" ref="F48:F52" si="4">D48*E48</f>
        <v>9000000</v>
      </c>
    </row>
    <row r="49" spans="1:6" x14ac:dyDescent="0.35">
      <c r="A49" s="42" t="s">
        <v>154</v>
      </c>
      <c r="B49" s="18" t="s">
        <v>264</v>
      </c>
      <c r="C49" s="32">
        <v>10</v>
      </c>
      <c r="D49" s="41">
        <v>4500000</v>
      </c>
      <c r="E49" s="41">
        <v>3</v>
      </c>
      <c r="F49" s="41">
        <f t="shared" si="4"/>
        <v>13500000</v>
      </c>
    </row>
    <row r="50" spans="1:6" x14ac:dyDescent="0.35">
      <c r="A50" s="42" t="s">
        <v>156</v>
      </c>
      <c r="B50" s="18" t="s">
        <v>232</v>
      </c>
      <c r="C50" s="32">
        <v>17</v>
      </c>
      <c r="D50" s="41">
        <v>7500000</v>
      </c>
      <c r="E50" s="41">
        <v>3</v>
      </c>
      <c r="F50" s="41">
        <f t="shared" si="4"/>
        <v>22500000</v>
      </c>
    </row>
    <row r="51" spans="1:6" x14ac:dyDescent="0.35">
      <c r="A51" s="42" t="s">
        <v>157</v>
      </c>
      <c r="B51" s="18" t="s">
        <v>152</v>
      </c>
      <c r="C51" s="32">
        <v>15</v>
      </c>
      <c r="D51" s="41">
        <v>3000000</v>
      </c>
      <c r="E51" s="41">
        <v>3</v>
      </c>
      <c r="F51" s="41">
        <f t="shared" si="4"/>
        <v>9000000</v>
      </c>
    </row>
    <row r="52" spans="1:6" x14ac:dyDescent="0.35">
      <c r="A52" s="42" t="s">
        <v>158</v>
      </c>
      <c r="B52" s="18"/>
      <c r="C52" s="32">
        <v>0</v>
      </c>
      <c r="D52" s="41"/>
      <c r="E52" s="41">
        <v>0</v>
      </c>
      <c r="F52" s="41">
        <f t="shared" si="4"/>
        <v>0</v>
      </c>
    </row>
    <row r="53" spans="1:6" x14ac:dyDescent="0.35">
      <c r="A53" s="38"/>
      <c r="B53" s="43" t="s">
        <v>111</v>
      </c>
      <c r="C53" s="45">
        <f>SUM(C47:C52)</f>
        <v>82</v>
      </c>
      <c r="D53" s="41"/>
      <c r="E53" s="41"/>
      <c r="F53" s="44">
        <f>SUM(F47:F52)</f>
        <v>85200000</v>
      </c>
    </row>
    <row r="54" spans="1:6" x14ac:dyDescent="0.35">
      <c r="A54" s="39">
        <v>7</v>
      </c>
      <c r="B54" s="37" t="s">
        <v>159</v>
      </c>
      <c r="C54" s="34"/>
      <c r="D54" s="40"/>
      <c r="E54" s="40"/>
      <c r="F54" s="40"/>
    </row>
    <row r="55" spans="1:6" x14ac:dyDescent="0.35">
      <c r="A55" s="42" t="s">
        <v>124</v>
      </c>
      <c r="B55" s="18" t="s">
        <v>160</v>
      </c>
      <c r="C55" s="32">
        <v>15</v>
      </c>
      <c r="D55" s="41">
        <v>22000000</v>
      </c>
      <c r="E55" s="41">
        <v>3</v>
      </c>
      <c r="F55" s="41">
        <f>D55*E55</f>
        <v>66000000</v>
      </c>
    </row>
    <row r="56" spans="1:6" x14ac:dyDescent="0.35">
      <c r="A56" s="42" t="s">
        <v>163</v>
      </c>
      <c r="B56" s="18" t="s">
        <v>161</v>
      </c>
      <c r="C56" s="32"/>
      <c r="D56" s="41">
        <v>6000000</v>
      </c>
      <c r="E56" s="41">
        <v>3</v>
      </c>
      <c r="F56" s="41">
        <f t="shared" ref="F56:F57" si="5">D56*E56</f>
        <v>18000000</v>
      </c>
    </row>
    <row r="57" spans="1:6" x14ac:dyDescent="0.35">
      <c r="A57" s="42" t="s">
        <v>164</v>
      </c>
      <c r="B57" s="18" t="s">
        <v>162</v>
      </c>
      <c r="C57" s="32">
        <v>10</v>
      </c>
      <c r="D57" s="41">
        <v>18000000</v>
      </c>
      <c r="E57" s="41">
        <v>3</v>
      </c>
      <c r="F57" s="41">
        <f t="shared" si="5"/>
        <v>54000000</v>
      </c>
    </row>
    <row r="58" spans="1:6" x14ac:dyDescent="0.35">
      <c r="A58" s="38"/>
      <c r="B58" s="43" t="s">
        <v>111</v>
      </c>
      <c r="C58" s="45">
        <v>25</v>
      </c>
      <c r="D58" s="41"/>
      <c r="E58" s="41"/>
      <c r="F58" s="44">
        <f>SUM(F55:F57)</f>
        <v>138000000</v>
      </c>
    </row>
    <row r="59" spans="1:6" x14ac:dyDescent="0.35">
      <c r="A59" s="39">
        <v>8</v>
      </c>
      <c r="B59" s="37" t="s">
        <v>166</v>
      </c>
      <c r="C59" s="34"/>
      <c r="D59" s="40"/>
      <c r="E59" s="40"/>
      <c r="F59" s="40"/>
    </row>
    <row r="60" spans="1:6" x14ac:dyDescent="0.35">
      <c r="A60" s="42" t="s">
        <v>168</v>
      </c>
      <c r="B60" s="18" t="s">
        <v>167</v>
      </c>
      <c r="C60" s="32">
        <v>2</v>
      </c>
      <c r="D60" s="41">
        <v>30000000</v>
      </c>
      <c r="E60" s="41">
        <v>1</v>
      </c>
      <c r="F60" s="41">
        <f>D60</f>
        <v>30000000</v>
      </c>
    </row>
    <row r="61" spans="1:6" x14ac:dyDescent="0.35">
      <c r="A61" s="38"/>
      <c r="B61" s="43" t="s">
        <v>111</v>
      </c>
      <c r="C61" s="45">
        <f>SUM(C60)</f>
        <v>2</v>
      </c>
      <c r="D61" s="41"/>
      <c r="E61" s="41"/>
      <c r="F61" s="44">
        <f>SUM(F60)</f>
        <v>30000000</v>
      </c>
    </row>
    <row r="62" spans="1:6" x14ac:dyDescent="0.35">
      <c r="A62" s="39">
        <v>9</v>
      </c>
      <c r="B62" s="37" t="s">
        <v>169</v>
      </c>
      <c r="C62" s="34"/>
      <c r="D62" s="40"/>
      <c r="E62" s="40"/>
      <c r="F62" s="40"/>
    </row>
    <row r="63" spans="1:6" x14ac:dyDescent="0.35">
      <c r="A63" s="42" t="s">
        <v>171</v>
      </c>
      <c r="B63" s="69" t="s">
        <v>170</v>
      </c>
      <c r="C63" s="32">
        <v>5</v>
      </c>
      <c r="D63" s="41">
        <v>12000000</v>
      </c>
      <c r="E63" s="41">
        <v>1</v>
      </c>
      <c r="F63" s="41">
        <f>D63*E63</f>
        <v>12000000</v>
      </c>
    </row>
    <row r="64" spans="1:6" x14ac:dyDescent="0.35">
      <c r="A64" s="38"/>
      <c r="B64" s="43" t="s">
        <v>111</v>
      </c>
      <c r="C64" s="45">
        <f>SUM(C63)</f>
        <v>5</v>
      </c>
      <c r="D64" s="41"/>
      <c r="E64" s="41"/>
      <c r="F64" s="44">
        <f>SUM(F63)</f>
        <v>12000000</v>
      </c>
    </row>
    <row r="65" spans="1:6" x14ac:dyDescent="0.35">
      <c r="A65" s="39">
        <v>10</v>
      </c>
      <c r="B65" s="37" t="s">
        <v>172</v>
      </c>
      <c r="C65" s="34"/>
      <c r="D65" s="40"/>
      <c r="E65" s="40"/>
      <c r="F65" s="40"/>
    </row>
    <row r="66" spans="1:6" x14ac:dyDescent="0.35">
      <c r="A66" s="42" t="s">
        <v>176</v>
      </c>
      <c r="B66" s="73" t="s">
        <v>173</v>
      </c>
      <c r="C66" s="32"/>
      <c r="D66" s="41">
        <v>22000000</v>
      </c>
      <c r="E66" s="41">
        <v>1</v>
      </c>
      <c r="F66" s="41">
        <f>D66*E66</f>
        <v>22000000</v>
      </c>
    </row>
    <row r="67" spans="1:6" x14ac:dyDescent="0.35">
      <c r="A67" s="42" t="s">
        <v>177</v>
      </c>
      <c r="B67" s="68" t="s">
        <v>174</v>
      </c>
      <c r="C67" s="32"/>
      <c r="D67" s="71">
        <v>-8000000</v>
      </c>
      <c r="E67" s="41">
        <v>0</v>
      </c>
      <c r="F67" s="71">
        <f t="shared" ref="F67:F68" si="6">D67*E67</f>
        <v>0</v>
      </c>
    </row>
    <row r="68" spans="1:6" x14ac:dyDescent="0.35">
      <c r="A68" s="42" t="s">
        <v>178</v>
      </c>
      <c r="B68" s="68" t="s">
        <v>175</v>
      </c>
      <c r="C68" s="32"/>
      <c r="D68" s="71">
        <v>-3500000</v>
      </c>
      <c r="E68" s="41">
        <v>0</v>
      </c>
      <c r="F68" s="71">
        <f t="shared" si="6"/>
        <v>0</v>
      </c>
    </row>
    <row r="69" spans="1:6" x14ac:dyDescent="0.35">
      <c r="A69" s="42"/>
      <c r="B69" s="43" t="s">
        <v>111</v>
      </c>
      <c r="C69" s="45">
        <f>SUM(C66:C68)</f>
        <v>0</v>
      </c>
      <c r="D69" s="41"/>
      <c r="E69" s="41"/>
      <c r="F69" s="44">
        <f>SUM(F66:F68)</f>
        <v>22000000</v>
      </c>
    </row>
    <row r="70" spans="1:6" x14ac:dyDescent="0.35">
      <c r="A70" s="39">
        <v>11</v>
      </c>
      <c r="B70" s="37" t="s">
        <v>179</v>
      </c>
      <c r="C70" s="34"/>
      <c r="D70" s="40"/>
      <c r="E70" s="40"/>
      <c r="F70" s="40"/>
    </row>
    <row r="71" spans="1:6" x14ac:dyDescent="0.35">
      <c r="A71" s="42" t="s">
        <v>180</v>
      </c>
      <c r="B71" s="18" t="s">
        <v>230</v>
      </c>
      <c r="C71" s="32">
        <v>95</v>
      </c>
      <c r="D71" s="41">
        <v>23000000</v>
      </c>
      <c r="E71" s="41">
        <v>3</v>
      </c>
      <c r="F71" s="41">
        <f>D71*E71</f>
        <v>69000000</v>
      </c>
    </row>
    <row r="72" spans="1:6" x14ac:dyDescent="0.35">
      <c r="A72" s="42"/>
      <c r="B72" s="18" t="s">
        <v>265</v>
      </c>
      <c r="C72" s="32">
        <v>11</v>
      </c>
      <c r="D72" s="41">
        <v>2500000</v>
      </c>
      <c r="E72" s="41">
        <v>3</v>
      </c>
      <c r="F72" s="41">
        <f t="shared" ref="F72:F73" si="7">D72*E72</f>
        <v>7500000</v>
      </c>
    </row>
    <row r="73" spans="1:6" x14ac:dyDescent="0.35">
      <c r="A73" s="42"/>
      <c r="B73" s="18"/>
      <c r="C73" s="32"/>
      <c r="D73" s="41"/>
      <c r="E73" s="41"/>
      <c r="F73" s="41">
        <f t="shared" si="7"/>
        <v>0</v>
      </c>
    </row>
    <row r="74" spans="1:6" x14ac:dyDescent="0.35">
      <c r="A74" s="42" t="s">
        <v>237</v>
      </c>
      <c r="B74" s="18" t="s">
        <v>266</v>
      </c>
      <c r="C74" s="32">
        <v>50</v>
      </c>
      <c r="D74" s="41">
        <v>42000000</v>
      </c>
      <c r="E74" s="41">
        <v>3</v>
      </c>
      <c r="F74" s="41">
        <f t="shared" ref="F74" si="8">D74*E74</f>
        <v>126000000</v>
      </c>
    </row>
    <row r="75" spans="1:6" x14ac:dyDescent="0.35">
      <c r="A75" s="42" t="s">
        <v>251</v>
      </c>
      <c r="B75" s="18" t="s">
        <v>238</v>
      </c>
      <c r="C75" s="32"/>
      <c r="D75" s="41">
        <v>300000000</v>
      </c>
      <c r="E75" s="41">
        <v>1</v>
      </c>
      <c r="F75" s="41">
        <f t="shared" ref="F75:F76" si="9">D75*E75</f>
        <v>300000000</v>
      </c>
    </row>
    <row r="76" spans="1:6" x14ac:dyDescent="0.35">
      <c r="A76" s="42" t="s">
        <v>253</v>
      </c>
      <c r="B76" s="18"/>
      <c r="C76" s="32"/>
      <c r="D76" s="41"/>
      <c r="E76" s="41">
        <v>1</v>
      </c>
      <c r="F76" s="41">
        <f t="shared" si="9"/>
        <v>0</v>
      </c>
    </row>
    <row r="77" spans="1:6" x14ac:dyDescent="0.35">
      <c r="A77" s="42"/>
      <c r="B77" s="43" t="s">
        <v>111</v>
      </c>
      <c r="C77" s="45">
        <f>SUM(C71:C76)</f>
        <v>156</v>
      </c>
      <c r="D77" s="41"/>
      <c r="E77" s="41"/>
      <c r="F77" s="44">
        <f>SUM(F71:F76)</f>
        <v>502500000</v>
      </c>
    </row>
    <row r="78" spans="1:6" ht="18.5" x14ac:dyDescent="0.45">
      <c r="A78" s="51"/>
      <c r="B78" s="52" t="s">
        <v>181</v>
      </c>
      <c r="C78" s="53">
        <f>C12+C21+C29+C45+C53+C58+C61+C64+C69+C77</f>
        <v>1485</v>
      </c>
      <c r="D78" s="54"/>
      <c r="E78" s="54"/>
      <c r="F78" s="55">
        <f>F12+F21+F29+F33+F45+F53+F58+F61+F64+F69+F77</f>
        <v>3693700000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showGridLines="0" topLeftCell="A4" zoomScale="90" zoomScaleNormal="90" workbookViewId="0">
      <selection activeCell="I18" sqref="I18"/>
    </sheetView>
  </sheetViews>
  <sheetFormatPr defaultRowHeight="14.5" x14ac:dyDescent="0.35"/>
  <cols>
    <col min="1" max="1" width="3.453125" customWidth="1"/>
    <col min="2" max="2" width="48.81640625" bestFit="1" customWidth="1"/>
    <col min="3" max="3" width="11.1796875" customWidth="1"/>
    <col min="4" max="4" width="11.453125" customWidth="1"/>
    <col min="6" max="6" width="11.453125" customWidth="1"/>
  </cols>
  <sheetData>
    <row r="1" spans="1:6" x14ac:dyDescent="0.35">
      <c r="B1" t="s">
        <v>228</v>
      </c>
    </row>
    <row r="2" spans="1:6" ht="29" x14ac:dyDescent="0.35">
      <c r="A2" s="46" t="s">
        <v>0</v>
      </c>
      <c r="B2" s="47" t="s">
        <v>1</v>
      </c>
      <c r="C2" s="47" t="s">
        <v>92</v>
      </c>
      <c r="D2" s="47" t="s">
        <v>93</v>
      </c>
      <c r="E2" s="47" t="s">
        <v>94</v>
      </c>
      <c r="F2" s="47" t="s">
        <v>95</v>
      </c>
    </row>
    <row r="3" spans="1:6" x14ac:dyDescent="0.35">
      <c r="A3" s="32">
        <v>1</v>
      </c>
      <c r="B3" s="18" t="s">
        <v>96</v>
      </c>
      <c r="C3" s="32">
        <v>1</v>
      </c>
      <c r="D3" s="32">
        <v>1</v>
      </c>
      <c r="E3" s="33">
        <v>200000</v>
      </c>
      <c r="F3" s="33">
        <f>E3*D3</f>
        <v>200000</v>
      </c>
    </row>
    <row r="4" spans="1:6" x14ac:dyDescent="0.35">
      <c r="A4" s="32">
        <v>2</v>
      </c>
      <c r="B4" s="18" t="s">
        <v>183</v>
      </c>
      <c r="C4" s="32">
        <v>1</v>
      </c>
      <c r="D4" s="32">
        <v>1</v>
      </c>
      <c r="E4" s="33">
        <v>150000</v>
      </c>
      <c r="F4" s="33">
        <f t="shared" ref="F4:F44" si="0">E4*D4</f>
        <v>150000</v>
      </c>
    </row>
    <row r="5" spans="1:6" x14ac:dyDescent="0.35">
      <c r="A5" s="32">
        <v>3</v>
      </c>
      <c r="B5" s="18" t="s">
        <v>97</v>
      </c>
      <c r="C5" s="32"/>
      <c r="D5" s="32"/>
      <c r="E5" s="33"/>
      <c r="F5" s="33">
        <f t="shared" si="0"/>
        <v>0</v>
      </c>
    </row>
    <row r="6" spans="1:6" x14ac:dyDescent="0.35">
      <c r="A6" s="32">
        <v>4</v>
      </c>
      <c r="B6" s="18" t="s">
        <v>223</v>
      </c>
      <c r="C6" s="32"/>
      <c r="D6" s="32"/>
      <c r="E6" s="33"/>
      <c r="F6" s="33">
        <f t="shared" si="0"/>
        <v>0</v>
      </c>
    </row>
    <row r="7" spans="1:6" x14ac:dyDescent="0.35">
      <c r="A7" s="32">
        <v>5</v>
      </c>
      <c r="B7" s="18" t="s">
        <v>98</v>
      </c>
      <c r="C7" s="32">
        <v>1</v>
      </c>
      <c r="D7" s="32">
        <v>1</v>
      </c>
      <c r="E7" s="33">
        <v>100000</v>
      </c>
      <c r="F7" s="33">
        <f t="shared" si="0"/>
        <v>100000</v>
      </c>
    </row>
    <row r="8" spans="1:6" x14ac:dyDescent="0.35">
      <c r="A8" s="32">
        <v>6</v>
      </c>
      <c r="B8" s="18" t="s">
        <v>184</v>
      </c>
      <c r="C8" s="32">
        <v>1</v>
      </c>
      <c r="D8" s="32">
        <v>3</v>
      </c>
      <c r="E8" s="33">
        <v>60000</v>
      </c>
      <c r="F8" s="33">
        <f t="shared" si="0"/>
        <v>180000</v>
      </c>
    </row>
    <row r="9" spans="1:6" x14ac:dyDescent="0.35">
      <c r="A9" s="32">
        <v>7</v>
      </c>
      <c r="B9" s="18" t="s">
        <v>99</v>
      </c>
      <c r="C9" s="32">
        <v>1</v>
      </c>
      <c r="D9" s="32"/>
      <c r="E9" s="33"/>
      <c r="F9" s="33">
        <f t="shared" si="0"/>
        <v>0</v>
      </c>
    </row>
    <row r="10" spans="1:6" x14ac:dyDescent="0.35">
      <c r="A10" s="32">
        <v>8</v>
      </c>
      <c r="B10" s="18" t="s">
        <v>185</v>
      </c>
      <c r="C10" s="32">
        <v>1</v>
      </c>
      <c r="D10" s="32">
        <v>3</v>
      </c>
      <c r="E10" s="33">
        <v>100000</v>
      </c>
      <c r="F10" s="33">
        <f t="shared" si="0"/>
        <v>300000</v>
      </c>
    </row>
    <row r="11" spans="1:6" x14ac:dyDescent="0.35">
      <c r="A11" s="32">
        <v>9</v>
      </c>
      <c r="B11" s="18" t="s">
        <v>239</v>
      </c>
      <c r="C11" s="32">
        <v>1</v>
      </c>
      <c r="D11" s="32">
        <v>9</v>
      </c>
      <c r="E11" s="33">
        <v>100000</v>
      </c>
      <c r="F11" s="33">
        <f t="shared" si="0"/>
        <v>900000</v>
      </c>
    </row>
    <row r="12" spans="1:6" x14ac:dyDescent="0.35">
      <c r="A12" s="32">
        <v>10</v>
      </c>
      <c r="B12" s="18" t="s">
        <v>186</v>
      </c>
      <c r="C12" s="32"/>
      <c r="D12" s="32"/>
      <c r="E12" s="33"/>
      <c r="F12" s="33">
        <f t="shared" si="0"/>
        <v>0</v>
      </c>
    </row>
    <row r="13" spans="1:6" x14ac:dyDescent="0.35">
      <c r="A13" s="32">
        <v>11</v>
      </c>
      <c r="B13" s="18" t="s">
        <v>100</v>
      </c>
      <c r="C13" s="32">
        <v>1</v>
      </c>
      <c r="D13" s="32">
        <v>3</v>
      </c>
      <c r="E13" s="33">
        <v>50000</v>
      </c>
      <c r="F13" s="33">
        <f t="shared" si="0"/>
        <v>150000</v>
      </c>
    </row>
    <row r="14" spans="1:6" x14ac:dyDescent="0.35">
      <c r="A14" s="32">
        <v>12</v>
      </c>
      <c r="B14" s="18" t="s">
        <v>187</v>
      </c>
      <c r="C14" s="32">
        <v>1</v>
      </c>
      <c r="D14" s="32">
        <v>3</v>
      </c>
      <c r="E14" s="33">
        <v>70000</v>
      </c>
      <c r="F14" s="33">
        <f t="shared" si="0"/>
        <v>210000</v>
      </c>
    </row>
    <row r="15" spans="1:6" x14ac:dyDescent="0.35">
      <c r="A15" s="32">
        <v>13</v>
      </c>
      <c r="B15" s="18" t="s">
        <v>188</v>
      </c>
      <c r="C15" s="32"/>
      <c r="D15" s="32"/>
      <c r="E15" s="33"/>
      <c r="F15" s="33">
        <f t="shared" si="0"/>
        <v>0</v>
      </c>
    </row>
    <row r="16" spans="1:6" x14ac:dyDescent="0.35">
      <c r="A16" s="32">
        <v>14</v>
      </c>
      <c r="B16" s="18" t="s">
        <v>189</v>
      </c>
      <c r="C16" s="32">
        <v>1</v>
      </c>
      <c r="D16" s="32">
        <v>3</v>
      </c>
      <c r="E16" s="33">
        <v>50000</v>
      </c>
      <c r="F16" s="33">
        <f t="shared" si="0"/>
        <v>150000</v>
      </c>
    </row>
    <row r="17" spans="1:6" x14ac:dyDescent="0.35">
      <c r="A17" s="32">
        <v>15</v>
      </c>
      <c r="B17" s="18" t="s">
        <v>190</v>
      </c>
      <c r="C17" s="32">
        <v>1</v>
      </c>
      <c r="D17" s="32">
        <v>6</v>
      </c>
      <c r="E17" s="33">
        <v>70000</v>
      </c>
      <c r="F17" s="33">
        <f t="shared" si="0"/>
        <v>420000</v>
      </c>
    </row>
    <row r="18" spans="1:6" x14ac:dyDescent="0.35">
      <c r="A18" s="32">
        <v>16</v>
      </c>
      <c r="B18" s="18" t="s">
        <v>224</v>
      </c>
      <c r="C18" s="32"/>
      <c r="D18" s="32"/>
      <c r="E18" s="33"/>
      <c r="F18" s="33">
        <f t="shared" si="0"/>
        <v>0</v>
      </c>
    </row>
    <row r="19" spans="1:6" x14ac:dyDescent="0.35">
      <c r="A19" s="32">
        <v>17</v>
      </c>
      <c r="B19" s="18" t="s">
        <v>191</v>
      </c>
      <c r="C19" s="32">
        <v>1</v>
      </c>
      <c r="D19" s="32">
        <v>9</v>
      </c>
      <c r="E19" s="33">
        <v>80000</v>
      </c>
      <c r="F19" s="33">
        <f t="shared" si="0"/>
        <v>720000</v>
      </c>
    </row>
    <row r="20" spans="1:6" ht="14.5" customHeight="1" x14ac:dyDescent="0.35">
      <c r="A20" s="32">
        <v>18</v>
      </c>
      <c r="B20" s="18" t="s">
        <v>192</v>
      </c>
      <c r="C20" s="32">
        <v>2</v>
      </c>
      <c r="D20" s="32">
        <v>12</v>
      </c>
      <c r="E20" s="33">
        <v>70000</v>
      </c>
      <c r="F20" s="33">
        <f t="shared" si="0"/>
        <v>840000</v>
      </c>
    </row>
    <row r="21" spans="1:6" x14ac:dyDescent="0.35">
      <c r="A21" s="32">
        <v>19</v>
      </c>
      <c r="B21" s="18" t="s">
        <v>240</v>
      </c>
      <c r="C21" s="32">
        <v>4</v>
      </c>
      <c r="D21" s="32">
        <v>48</v>
      </c>
      <c r="E21" s="33">
        <v>70000</v>
      </c>
      <c r="F21" s="33">
        <f t="shared" si="0"/>
        <v>3360000</v>
      </c>
    </row>
    <row r="22" spans="1:6" x14ac:dyDescent="0.35">
      <c r="A22" s="32">
        <v>20</v>
      </c>
      <c r="B22" s="18" t="s">
        <v>241</v>
      </c>
      <c r="C22" s="32">
        <v>1</v>
      </c>
      <c r="D22" s="32">
        <v>12</v>
      </c>
      <c r="E22" s="33">
        <v>60000</v>
      </c>
      <c r="F22" s="33">
        <f t="shared" si="0"/>
        <v>720000</v>
      </c>
    </row>
    <row r="23" spans="1:6" x14ac:dyDescent="0.35">
      <c r="A23" s="32">
        <v>21</v>
      </c>
      <c r="B23" s="18" t="s">
        <v>242</v>
      </c>
      <c r="C23" s="32">
        <v>1</v>
      </c>
      <c r="D23" s="32">
        <v>12</v>
      </c>
      <c r="E23" s="33">
        <v>60000</v>
      </c>
      <c r="F23" s="33">
        <f t="shared" si="0"/>
        <v>720000</v>
      </c>
    </row>
    <row r="24" spans="1:6" x14ac:dyDescent="0.35">
      <c r="A24" s="32">
        <v>22</v>
      </c>
      <c r="B24" s="18" t="s">
        <v>193</v>
      </c>
      <c r="C24" s="32"/>
      <c r="D24" s="32"/>
      <c r="E24" s="33"/>
      <c r="F24" s="33">
        <f t="shared" si="0"/>
        <v>0</v>
      </c>
    </row>
    <row r="25" spans="1:6" x14ac:dyDescent="0.35">
      <c r="A25" s="32">
        <v>23</v>
      </c>
      <c r="B25" s="18" t="s">
        <v>194</v>
      </c>
      <c r="C25" s="32"/>
      <c r="D25" s="32"/>
      <c r="E25" s="33"/>
      <c r="F25" s="33">
        <f t="shared" si="0"/>
        <v>0</v>
      </c>
    </row>
    <row r="26" spans="1:6" x14ac:dyDescent="0.35">
      <c r="A26" s="32">
        <v>24</v>
      </c>
      <c r="B26" s="18" t="s">
        <v>195</v>
      </c>
      <c r="C26" s="32"/>
      <c r="D26" s="32"/>
      <c r="E26" s="33"/>
      <c r="F26" s="33">
        <f t="shared" si="0"/>
        <v>0</v>
      </c>
    </row>
    <row r="27" spans="1:6" x14ac:dyDescent="0.35">
      <c r="A27" s="32">
        <v>25</v>
      </c>
      <c r="B27" s="18" t="s">
        <v>196</v>
      </c>
      <c r="C27" s="32"/>
      <c r="D27" s="32"/>
      <c r="E27" s="33"/>
      <c r="F27" s="33">
        <f t="shared" si="0"/>
        <v>0</v>
      </c>
    </row>
    <row r="28" spans="1:6" x14ac:dyDescent="0.35">
      <c r="A28" s="32">
        <v>26</v>
      </c>
      <c r="B28" s="18" t="s">
        <v>101</v>
      </c>
      <c r="C28" s="32">
        <v>1</v>
      </c>
      <c r="D28" s="32">
        <v>6</v>
      </c>
      <c r="E28" s="33">
        <v>70000</v>
      </c>
      <c r="F28" s="33">
        <f t="shared" si="0"/>
        <v>420000</v>
      </c>
    </row>
    <row r="29" spans="1:6" x14ac:dyDescent="0.35">
      <c r="A29" s="32">
        <v>27</v>
      </c>
      <c r="B29" s="18" t="s">
        <v>102</v>
      </c>
      <c r="C29" s="32">
        <v>1</v>
      </c>
      <c r="D29" s="32">
        <v>9</v>
      </c>
      <c r="E29" s="33">
        <v>70000</v>
      </c>
      <c r="F29" s="33">
        <f t="shared" si="0"/>
        <v>630000</v>
      </c>
    </row>
    <row r="30" spans="1:6" x14ac:dyDescent="0.35">
      <c r="A30" s="32">
        <v>28</v>
      </c>
      <c r="B30" s="18" t="s">
        <v>103</v>
      </c>
      <c r="C30" s="32">
        <v>2</v>
      </c>
      <c r="D30" s="32">
        <v>12</v>
      </c>
      <c r="E30" s="33">
        <v>70000</v>
      </c>
      <c r="F30" s="33">
        <f t="shared" si="0"/>
        <v>840000</v>
      </c>
    </row>
    <row r="31" spans="1:6" x14ac:dyDescent="0.35">
      <c r="A31" s="32">
        <v>29</v>
      </c>
      <c r="B31" s="18" t="s">
        <v>104</v>
      </c>
      <c r="C31" s="32">
        <v>1</v>
      </c>
      <c r="D31" s="32">
        <v>9</v>
      </c>
      <c r="E31" s="33">
        <v>60000</v>
      </c>
      <c r="F31" s="33">
        <f t="shared" si="0"/>
        <v>540000</v>
      </c>
    </row>
    <row r="32" spans="1:6" x14ac:dyDescent="0.35">
      <c r="A32" s="32">
        <v>30</v>
      </c>
      <c r="B32" s="18" t="s">
        <v>197</v>
      </c>
      <c r="C32" s="32">
        <v>1</v>
      </c>
      <c r="D32" s="32">
        <v>6</v>
      </c>
      <c r="E32" s="33">
        <v>60000</v>
      </c>
      <c r="F32" s="33">
        <f t="shared" si="0"/>
        <v>360000</v>
      </c>
    </row>
    <row r="33" spans="1:6" x14ac:dyDescent="0.35">
      <c r="A33" s="32">
        <v>31</v>
      </c>
      <c r="B33" s="18" t="s">
        <v>198</v>
      </c>
      <c r="C33" s="32">
        <v>1</v>
      </c>
      <c r="D33" s="32">
        <v>9</v>
      </c>
      <c r="E33" s="33">
        <v>60000</v>
      </c>
      <c r="F33" s="33">
        <f t="shared" si="0"/>
        <v>540000</v>
      </c>
    </row>
    <row r="34" spans="1:6" x14ac:dyDescent="0.35">
      <c r="A34" s="32">
        <v>32</v>
      </c>
      <c r="B34" s="18" t="s">
        <v>199</v>
      </c>
      <c r="C34" s="32">
        <v>1</v>
      </c>
      <c r="D34" s="32">
        <v>9</v>
      </c>
      <c r="E34" s="33">
        <v>50000</v>
      </c>
      <c r="F34" s="33">
        <f t="shared" si="0"/>
        <v>450000</v>
      </c>
    </row>
    <row r="35" spans="1:6" x14ac:dyDescent="0.35">
      <c r="A35" s="32">
        <v>33</v>
      </c>
      <c r="B35" s="18" t="s">
        <v>105</v>
      </c>
      <c r="C35" s="32">
        <v>4</v>
      </c>
      <c r="D35" s="32">
        <v>36</v>
      </c>
      <c r="E35" s="33">
        <v>50000</v>
      </c>
      <c r="F35" s="33">
        <f t="shared" si="0"/>
        <v>1800000</v>
      </c>
    </row>
    <row r="36" spans="1:6" x14ac:dyDescent="0.35">
      <c r="A36" s="32">
        <v>34</v>
      </c>
      <c r="B36" s="18" t="s">
        <v>200</v>
      </c>
      <c r="C36" s="32"/>
      <c r="D36" s="32"/>
      <c r="E36" s="33"/>
      <c r="F36" s="33">
        <f t="shared" si="0"/>
        <v>0</v>
      </c>
    </row>
    <row r="37" spans="1:6" x14ac:dyDescent="0.35">
      <c r="A37" s="32">
        <v>35</v>
      </c>
      <c r="B37" s="18" t="s">
        <v>201</v>
      </c>
      <c r="C37" s="32"/>
      <c r="D37" s="32"/>
      <c r="E37" s="33"/>
      <c r="F37" s="33">
        <f t="shared" si="0"/>
        <v>0</v>
      </c>
    </row>
    <row r="38" spans="1:6" x14ac:dyDescent="0.35">
      <c r="A38" s="32">
        <v>36</v>
      </c>
      <c r="B38" s="18" t="s">
        <v>202</v>
      </c>
      <c r="C38" s="32"/>
      <c r="D38" s="32"/>
      <c r="E38" s="33"/>
      <c r="F38" s="33">
        <f t="shared" si="0"/>
        <v>0</v>
      </c>
    </row>
    <row r="39" spans="1:6" x14ac:dyDescent="0.35">
      <c r="A39" s="32">
        <v>37</v>
      </c>
      <c r="B39" s="18" t="s">
        <v>203</v>
      </c>
      <c r="C39" s="32"/>
      <c r="D39" s="32"/>
      <c r="E39" s="33"/>
      <c r="F39" s="33">
        <f t="shared" si="0"/>
        <v>0</v>
      </c>
    </row>
    <row r="40" spans="1:6" x14ac:dyDescent="0.35">
      <c r="A40" s="32">
        <v>38</v>
      </c>
      <c r="B40" s="18" t="s">
        <v>204</v>
      </c>
      <c r="C40" s="32"/>
      <c r="D40" s="32"/>
      <c r="E40" s="33"/>
      <c r="F40" s="33">
        <f t="shared" si="0"/>
        <v>0</v>
      </c>
    </row>
    <row r="41" spans="1:6" x14ac:dyDescent="0.35">
      <c r="A41" s="32">
        <v>39</v>
      </c>
      <c r="B41" s="18" t="s">
        <v>205</v>
      </c>
      <c r="C41" s="32"/>
      <c r="D41" s="32"/>
      <c r="E41" s="33"/>
      <c r="F41" s="33">
        <f t="shared" si="0"/>
        <v>0</v>
      </c>
    </row>
    <row r="42" spans="1:6" x14ac:dyDescent="0.35">
      <c r="A42" s="32">
        <v>40</v>
      </c>
      <c r="B42" s="18" t="s">
        <v>206</v>
      </c>
      <c r="C42" s="32"/>
      <c r="D42" s="32"/>
      <c r="E42" s="33"/>
      <c r="F42" s="33">
        <f t="shared" si="0"/>
        <v>0</v>
      </c>
    </row>
    <row r="43" spans="1:6" x14ac:dyDescent="0.35">
      <c r="A43" s="32">
        <v>41</v>
      </c>
      <c r="B43" s="18" t="s">
        <v>207</v>
      </c>
      <c r="C43" s="32"/>
      <c r="D43" s="32"/>
      <c r="E43" s="33"/>
      <c r="F43" s="33">
        <f t="shared" si="0"/>
        <v>0</v>
      </c>
    </row>
    <row r="44" spans="1:6" x14ac:dyDescent="0.35">
      <c r="A44" s="32">
        <v>42</v>
      </c>
      <c r="B44" s="18" t="s">
        <v>208</v>
      </c>
      <c r="C44" s="32"/>
      <c r="D44" s="32"/>
      <c r="E44" s="33"/>
      <c r="F44" s="33">
        <f t="shared" si="0"/>
        <v>0</v>
      </c>
    </row>
    <row r="45" spans="1:6" x14ac:dyDescent="0.35">
      <c r="A45" s="32"/>
      <c r="B45" s="18"/>
      <c r="C45" s="32"/>
      <c r="D45" s="32"/>
      <c r="E45" s="33"/>
      <c r="F45" s="33"/>
    </row>
    <row r="46" spans="1:6" x14ac:dyDescent="0.35">
      <c r="A46" s="46"/>
      <c r="B46" s="48" t="s">
        <v>106</v>
      </c>
      <c r="C46" s="46"/>
      <c r="D46" s="46">
        <f>SUM(D3:D45)</f>
        <v>222</v>
      </c>
      <c r="E46" s="49"/>
      <c r="F46" s="50">
        <f>SUM(F3:F45)</f>
        <v>14700000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"/>
  <sheetViews>
    <sheetView showGridLines="0" zoomScale="90" zoomScaleNormal="90" workbookViewId="0">
      <selection activeCell="G5" sqref="G5"/>
    </sheetView>
  </sheetViews>
  <sheetFormatPr defaultRowHeight="14.5" x14ac:dyDescent="0.35"/>
  <cols>
    <col min="1" max="1" width="3.453125" bestFit="1" customWidth="1"/>
    <col min="2" max="2" width="38.81640625" customWidth="1"/>
    <col min="3" max="3" width="9.1796875" customWidth="1"/>
    <col min="4" max="4" width="10" customWidth="1"/>
    <col min="5" max="5" width="14.81640625" customWidth="1"/>
    <col min="6" max="6" width="10.81640625" customWidth="1"/>
    <col min="7" max="8" width="11" customWidth="1"/>
    <col min="9" max="9" width="12.453125" bestFit="1" customWidth="1"/>
    <col min="10" max="10" width="13.453125" bestFit="1" customWidth="1"/>
  </cols>
  <sheetData>
    <row r="1" spans="1:10" x14ac:dyDescent="0.35">
      <c r="B1" t="s">
        <v>229</v>
      </c>
    </row>
    <row r="2" spans="1:10" ht="29" x14ac:dyDescent="0.35">
      <c r="A2" s="36" t="s">
        <v>0</v>
      </c>
      <c r="B2" s="36" t="s">
        <v>1</v>
      </c>
      <c r="C2" s="36" t="s">
        <v>70</v>
      </c>
      <c r="D2" s="36" t="s">
        <v>72</v>
      </c>
      <c r="E2" s="36" t="s">
        <v>73</v>
      </c>
      <c r="F2" s="36" t="s">
        <v>82</v>
      </c>
      <c r="G2" s="36" t="s">
        <v>71</v>
      </c>
      <c r="H2" s="36" t="s">
        <v>74</v>
      </c>
      <c r="I2" s="36" t="s">
        <v>75</v>
      </c>
      <c r="J2" s="36" t="s">
        <v>76</v>
      </c>
    </row>
    <row r="3" spans="1:10" x14ac:dyDescent="0.35">
      <c r="A3" s="32">
        <v>1</v>
      </c>
      <c r="B3" s="18" t="s">
        <v>267</v>
      </c>
      <c r="C3" s="21">
        <v>100</v>
      </c>
      <c r="D3" s="19">
        <v>500</v>
      </c>
      <c r="E3" s="19">
        <f>D3*28</f>
        <v>14000</v>
      </c>
      <c r="F3" s="19">
        <f>D3*340</f>
        <v>170000</v>
      </c>
      <c r="G3" s="19">
        <v>420</v>
      </c>
      <c r="H3" s="19">
        <f>G3*D3</f>
        <v>210000</v>
      </c>
      <c r="I3" s="19">
        <f>G3*E3</f>
        <v>5880000</v>
      </c>
      <c r="J3" s="19">
        <f>G3*F3</f>
        <v>71400000</v>
      </c>
    </row>
    <row r="4" spans="1:10" x14ac:dyDescent="0.35">
      <c r="A4" s="32">
        <v>2</v>
      </c>
      <c r="B4" s="18" t="s">
        <v>268</v>
      </c>
      <c r="C4" s="21" t="s">
        <v>243</v>
      </c>
      <c r="D4" s="19">
        <f>500/100*35</f>
        <v>175</v>
      </c>
      <c r="E4" s="19">
        <f>D4*28</f>
        <v>4900</v>
      </c>
      <c r="F4" s="19">
        <f>D4*340</f>
        <v>59500</v>
      </c>
      <c r="G4" s="19">
        <v>22000</v>
      </c>
      <c r="H4" s="19">
        <f t="shared" ref="H4:H12" si="0">G4*D4</f>
        <v>3850000</v>
      </c>
      <c r="I4" s="19">
        <f t="shared" ref="I4:I12" si="1">G4*E4</f>
        <v>107800000</v>
      </c>
      <c r="J4" s="19">
        <f t="shared" ref="J4:J12" si="2">G4*F4</f>
        <v>1309000000</v>
      </c>
    </row>
    <row r="5" spans="1:10" x14ac:dyDescent="0.35">
      <c r="A5" s="32">
        <v>3</v>
      </c>
      <c r="B5" s="18" t="s">
        <v>255</v>
      </c>
      <c r="C5" s="21" t="s">
        <v>244</v>
      </c>
      <c r="D5" s="19">
        <f>500/100*35</f>
        <v>175</v>
      </c>
      <c r="E5" s="19">
        <f t="shared" ref="E5:E12" si="3">D5*28</f>
        <v>4900</v>
      </c>
      <c r="F5" s="19">
        <f t="shared" ref="F5:F6" si="4">D5*340</f>
        <v>59500</v>
      </c>
      <c r="G5" s="19">
        <v>4500</v>
      </c>
      <c r="H5" s="19">
        <f t="shared" si="0"/>
        <v>787500</v>
      </c>
      <c r="I5" s="19">
        <f t="shared" si="1"/>
        <v>22050000</v>
      </c>
      <c r="J5" s="19">
        <f t="shared" si="2"/>
        <v>267750000</v>
      </c>
    </row>
    <row r="6" spans="1:10" x14ac:dyDescent="0.35">
      <c r="A6" s="32">
        <v>4</v>
      </c>
      <c r="B6" s="18" t="s">
        <v>77</v>
      </c>
      <c r="C6" s="21" t="s">
        <v>80</v>
      </c>
      <c r="D6" s="19">
        <v>12</v>
      </c>
      <c r="E6" s="19">
        <f t="shared" si="3"/>
        <v>336</v>
      </c>
      <c r="F6" s="19">
        <f t="shared" si="4"/>
        <v>4080</v>
      </c>
      <c r="G6" s="19">
        <v>0</v>
      </c>
      <c r="H6" s="19">
        <f t="shared" si="0"/>
        <v>0</v>
      </c>
      <c r="I6" s="19">
        <f t="shared" si="1"/>
        <v>0</v>
      </c>
      <c r="J6" s="19">
        <f t="shared" si="2"/>
        <v>0</v>
      </c>
    </row>
    <row r="7" spans="1:10" x14ac:dyDescent="0.35">
      <c r="A7" s="32">
        <v>5</v>
      </c>
      <c r="B7" s="18" t="s">
        <v>66</v>
      </c>
      <c r="C7" s="21" t="s">
        <v>116</v>
      </c>
      <c r="D7" s="19">
        <v>10</v>
      </c>
      <c r="E7" s="19">
        <f t="shared" si="3"/>
        <v>280</v>
      </c>
      <c r="F7" s="19">
        <f t="shared" ref="F7" si="5">D7*340</f>
        <v>3400</v>
      </c>
      <c r="G7" s="19">
        <v>5000</v>
      </c>
      <c r="H7" s="19">
        <f t="shared" si="0"/>
        <v>50000</v>
      </c>
      <c r="I7" s="19">
        <f t="shared" si="1"/>
        <v>1400000</v>
      </c>
      <c r="J7" s="19">
        <f t="shared" si="2"/>
        <v>17000000</v>
      </c>
    </row>
    <row r="8" spans="1:10" x14ac:dyDescent="0.35">
      <c r="A8" s="32">
        <v>6</v>
      </c>
      <c r="B8" s="18" t="s">
        <v>245</v>
      </c>
      <c r="C8" s="21" t="s">
        <v>248</v>
      </c>
      <c r="D8" s="19">
        <f>D4/100*20</f>
        <v>35</v>
      </c>
      <c r="E8" s="19">
        <f t="shared" si="3"/>
        <v>980</v>
      </c>
      <c r="F8" s="19">
        <f t="shared" ref="F8:F12" si="6">D8*340</f>
        <v>11900</v>
      </c>
      <c r="G8" s="19">
        <v>0</v>
      </c>
      <c r="H8" s="19">
        <f t="shared" si="0"/>
        <v>0</v>
      </c>
      <c r="I8" s="19">
        <f t="shared" si="1"/>
        <v>0</v>
      </c>
      <c r="J8" s="19">
        <f t="shared" si="2"/>
        <v>0</v>
      </c>
    </row>
    <row r="9" spans="1:10" x14ac:dyDescent="0.35">
      <c r="A9" s="32">
        <v>7</v>
      </c>
      <c r="B9" s="18" t="s">
        <v>246</v>
      </c>
      <c r="C9" s="21" t="s">
        <v>247</v>
      </c>
      <c r="D9" s="19">
        <f>D4/100*40</f>
        <v>70</v>
      </c>
      <c r="E9" s="19">
        <f t="shared" si="3"/>
        <v>1960</v>
      </c>
      <c r="F9" s="19">
        <f t="shared" si="6"/>
        <v>23800</v>
      </c>
      <c r="G9" s="19">
        <v>0</v>
      </c>
      <c r="H9" s="19">
        <f t="shared" si="0"/>
        <v>0</v>
      </c>
      <c r="I9" s="19">
        <f t="shared" si="1"/>
        <v>0</v>
      </c>
      <c r="J9" s="19">
        <f t="shared" si="2"/>
        <v>0</v>
      </c>
    </row>
    <row r="10" spans="1:10" x14ac:dyDescent="0.35">
      <c r="A10" s="32">
        <v>8</v>
      </c>
      <c r="B10" s="18" t="s">
        <v>78</v>
      </c>
      <c r="C10" s="21" t="s">
        <v>249</v>
      </c>
      <c r="D10" s="19">
        <v>20</v>
      </c>
      <c r="E10" s="19">
        <f t="shared" si="3"/>
        <v>560</v>
      </c>
      <c r="F10" s="19">
        <f t="shared" si="6"/>
        <v>6800</v>
      </c>
      <c r="G10" s="19">
        <v>0</v>
      </c>
      <c r="H10" s="19">
        <f t="shared" si="0"/>
        <v>0</v>
      </c>
      <c r="I10" s="19">
        <f t="shared" si="1"/>
        <v>0</v>
      </c>
      <c r="J10" s="19">
        <f t="shared" si="2"/>
        <v>0</v>
      </c>
    </row>
    <row r="11" spans="1:10" x14ac:dyDescent="0.35">
      <c r="A11" s="32">
        <v>9</v>
      </c>
      <c r="B11" s="18" t="s">
        <v>79</v>
      </c>
      <c r="C11" s="21" t="s">
        <v>83</v>
      </c>
      <c r="D11" s="19">
        <f>D4/100*5</f>
        <v>8.75</v>
      </c>
      <c r="E11" s="19">
        <f t="shared" si="3"/>
        <v>245</v>
      </c>
      <c r="F11" s="19">
        <f t="shared" si="6"/>
        <v>2975</v>
      </c>
      <c r="G11" s="19">
        <v>0</v>
      </c>
      <c r="H11" s="19">
        <f t="shared" si="0"/>
        <v>0</v>
      </c>
      <c r="I11" s="19">
        <f t="shared" si="1"/>
        <v>0</v>
      </c>
      <c r="J11" s="19">
        <f t="shared" si="2"/>
        <v>0</v>
      </c>
    </row>
    <row r="12" spans="1:10" x14ac:dyDescent="0.35">
      <c r="A12" s="32">
        <v>10</v>
      </c>
      <c r="B12" s="18" t="s">
        <v>81</v>
      </c>
      <c r="C12" s="21"/>
      <c r="D12" s="19">
        <v>10</v>
      </c>
      <c r="E12" s="19">
        <f t="shared" si="3"/>
        <v>280</v>
      </c>
      <c r="F12" s="19">
        <f t="shared" si="6"/>
        <v>3400</v>
      </c>
      <c r="G12" s="19">
        <v>10000</v>
      </c>
      <c r="H12" s="19">
        <f t="shared" si="0"/>
        <v>100000</v>
      </c>
      <c r="I12" s="19">
        <f t="shared" si="1"/>
        <v>2800000</v>
      </c>
      <c r="J12" s="19">
        <f t="shared" si="2"/>
        <v>34000000</v>
      </c>
    </row>
    <row r="13" spans="1:10" x14ac:dyDescent="0.35">
      <c r="A13" s="32">
        <v>11</v>
      </c>
      <c r="B13" s="18" t="s">
        <v>89</v>
      </c>
      <c r="C13" s="21" t="s">
        <v>254</v>
      </c>
      <c r="D13" s="19">
        <v>50</v>
      </c>
      <c r="E13" s="19">
        <f t="shared" ref="E13" si="7">D13*28</f>
        <v>1400</v>
      </c>
      <c r="F13" s="19">
        <f t="shared" ref="F13" si="8">D13*340</f>
        <v>17000</v>
      </c>
      <c r="G13" s="19">
        <v>15000</v>
      </c>
      <c r="H13" s="19">
        <f t="shared" ref="H13" si="9">G13*D13</f>
        <v>750000</v>
      </c>
      <c r="I13" s="19">
        <f t="shared" ref="I13" si="10">G13*E13</f>
        <v>21000000</v>
      </c>
      <c r="J13" s="19">
        <f t="shared" ref="J13" si="11">G13*F13</f>
        <v>255000000</v>
      </c>
    </row>
    <row r="14" spans="1:10" x14ac:dyDescent="0.35">
      <c r="A14" s="32"/>
      <c r="B14" s="29" t="s">
        <v>87</v>
      </c>
      <c r="C14" s="21"/>
      <c r="D14" s="19"/>
      <c r="E14" s="19"/>
      <c r="F14" s="19"/>
      <c r="G14" s="19"/>
      <c r="H14" s="19">
        <f t="shared" ref="H14:I14" si="12">SUM(H3:H12)</f>
        <v>4997500</v>
      </c>
      <c r="I14" s="19">
        <f t="shared" si="12"/>
        <v>139930000</v>
      </c>
      <c r="J14" s="19">
        <f>SUM(J3:J12)</f>
        <v>1699150000</v>
      </c>
    </row>
    <row r="15" spans="1:10" x14ac:dyDescent="0.35">
      <c r="C15" s="20"/>
      <c r="D15" s="20"/>
      <c r="E15" s="20"/>
      <c r="F15" s="20"/>
      <c r="G15" s="20"/>
      <c r="H15" s="20"/>
      <c r="I15" s="20"/>
      <c r="J15" s="20"/>
    </row>
    <row r="18" spans="4:4" x14ac:dyDescent="0.35">
      <c r="D18" s="20"/>
    </row>
    <row r="19" spans="4:4" x14ac:dyDescent="0.35">
      <c r="D19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CAPEX</vt:lpstr>
      <vt:lpstr>OPEX</vt:lpstr>
      <vt:lpstr>Оборудование</vt:lpstr>
      <vt:lpstr>Штатное расписание</vt:lpstr>
      <vt:lpstr>Продукция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</dc:creator>
  <cp:lastModifiedBy>Георг Георг</cp:lastModifiedBy>
  <dcterms:created xsi:type="dcterms:W3CDTF">2017-12-04T10:15:01Z</dcterms:created>
  <dcterms:modified xsi:type="dcterms:W3CDTF">2024-12-16T16:16:45Z</dcterms:modified>
</cp:coreProperties>
</file>